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XX\Desktop\"/>
    </mc:Choice>
  </mc:AlternateContent>
  <workbookProtection workbookAlgorithmName="SHA-512" workbookHashValue="Xah6yOwkU+WKQ2dTRAHGqHGwCzNHKOvHNLnS+P8yW1eF/BJf38Hs8MovcAy2XdfBBGj1KT/ODX8tIe6SFe4DIg==" workbookSaltValue="mfkb5JGwRDFtFP0HeBxD+w==" workbookSpinCount="100000" lockStructure="1"/>
  <bookViews>
    <workbookView xWindow="0" yWindow="0" windowWidth="38400" windowHeight="17700"/>
  </bookViews>
  <sheets>
    <sheet name="Kriterium Long Range Data Cards"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C54" i="1"/>
  <c r="C55" i="1"/>
  <c r="C56" i="1"/>
  <c r="C57" i="1"/>
  <c r="C58" i="1"/>
  <c r="C59" i="1"/>
  <c r="C60" i="1"/>
  <c r="C61" i="1"/>
  <c r="C62" i="1"/>
  <c r="C63" i="1"/>
  <c r="J72" i="1" l="1"/>
  <c r="H72" i="1"/>
  <c r="J71" i="1"/>
  <c r="H71" i="1"/>
  <c r="H69" i="1"/>
  <c r="H68" i="1"/>
  <c r="H63" i="1"/>
  <c r="H62" i="1"/>
  <c r="H61" i="1"/>
  <c r="H60" i="1"/>
  <c r="H59" i="1"/>
  <c r="H58" i="1"/>
  <c r="H57" i="1"/>
  <c r="H56" i="1"/>
  <c r="H55" i="1"/>
  <c r="H54" i="1"/>
  <c r="J49" i="1"/>
  <c r="H49" i="1"/>
  <c r="J48" i="1"/>
  <c r="H48" i="1"/>
  <c r="H45" i="1"/>
  <c r="H44" i="1"/>
  <c r="J41" i="1"/>
  <c r="H41" i="1"/>
  <c r="J40" i="1"/>
  <c r="H40" i="1"/>
  <c r="H35" i="1"/>
  <c r="J34" i="1"/>
  <c r="H34" i="1"/>
  <c r="J33" i="1"/>
  <c r="H33" i="1"/>
  <c r="J32" i="1"/>
  <c r="H32" i="1"/>
  <c r="J31" i="1"/>
  <c r="H31" i="1"/>
  <c r="H28" i="1"/>
  <c r="J27" i="1"/>
  <c r="H27" i="1"/>
  <c r="J26" i="1"/>
  <c r="H26" i="1"/>
  <c r="J25" i="1"/>
  <c r="H25" i="1"/>
  <c r="J22" i="1"/>
  <c r="H22" i="1"/>
  <c r="J21" i="1"/>
  <c r="H21" i="1"/>
  <c r="H18" i="1"/>
  <c r="H17" i="1"/>
  <c r="J16" i="1"/>
  <c r="H16" i="1"/>
  <c r="J15" i="1"/>
  <c r="H15" i="1"/>
  <c r="J14" i="1"/>
  <c r="H14" i="1"/>
  <c r="H13" i="1"/>
  <c r="A2"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J60" i="1" l="1"/>
  <c r="J58" i="1"/>
  <c r="J63" i="1"/>
  <c r="J54" i="1"/>
  <c r="J62" i="1"/>
  <c r="J56" i="1"/>
  <c r="J55" i="1"/>
  <c r="J57" i="1"/>
  <c r="J59" i="1"/>
  <c r="J61" i="1"/>
</calcChain>
</file>

<file path=xl/sharedStrings.xml><?xml version="1.0" encoding="utf-8"?>
<sst xmlns="http://schemas.openxmlformats.org/spreadsheetml/2006/main" count="226" uniqueCount="106">
  <si>
    <t>Required Input: type in text or values</t>
  </si>
  <si>
    <t>Required Input: select unit from dropdown menu</t>
  </si>
  <si>
    <t>E-Mail</t>
  </si>
  <si>
    <t>Product Support Code</t>
  </si>
  <si>
    <t>Ammunition Data</t>
  </si>
  <si>
    <t>Calculator Data</t>
  </si>
  <si>
    <t>Bullet Data</t>
  </si>
  <si>
    <t>SI</t>
  </si>
  <si>
    <t>USCS</t>
  </si>
  <si>
    <t>Type</t>
  </si>
  <si>
    <t>Hornady ELD Match</t>
  </si>
  <si>
    <t>Diameter</t>
  </si>
  <si>
    <t>in</t>
  </si>
  <si>
    <t>mm</t>
  </si>
  <si>
    <t>Weight</t>
  </si>
  <si>
    <t>gr</t>
  </si>
  <si>
    <t>g</t>
  </si>
  <si>
    <t>Length</t>
  </si>
  <si>
    <t>Ballistic Coefficient (BC)</t>
  </si>
  <si>
    <t>lb/in²</t>
  </si>
  <si>
    <t>Drag Model</t>
  </si>
  <si>
    <t>G7</t>
  </si>
  <si>
    <t>G1</t>
  </si>
  <si>
    <t>Muzzle Velocity</t>
  </si>
  <si>
    <t>Zeroing Muzzle Velocity</t>
  </si>
  <si>
    <t>fps</t>
  </si>
  <si>
    <t>m/s</t>
  </si>
  <si>
    <t>Muzzle Velocity Temperature Variation</t>
  </si>
  <si>
    <t>m/s/°C</t>
  </si>
  <si>
    <t>fps/°F</t>
  </si>
  <si>
    <t>Weapon Data</t>
  </si>
  <si>
    <t>Zero Distance</t>
  </si>
  <si>
    <t>m</t>
  </si>
  <si>
    <t>yd</t>
  </si>
  <si>
    <t>Sight Height</t>
  </si>
  <si>
    <t>cm</t>
  </si>
  <si>
    <t>Barrel Twist Rate</t>
  </si>
  <si>
    <t>Twist Direction</t>
  </si>
  <si>
    <t>Right</t>
  </si>
  <si>
    <t>Left</t>
  </si>
  <si>
    <t>Zero Atmosphere</t>
  </si>
  <si>
    <t>Density Altitude</t>
  </si>
  <si>
    <t>ft</t>
  </si>
  <si>
    <t>Altitude</t>
  </si>
  <si>
    <t>Temperature</t>
  </si>
  <si>
    <t>°C</t>
  </si>
  <si>
    <t>°F</t>
  </si>
  <si>
    <t>Station Pressure</t>
  </si>
  <si>
    <t>hPa</t>
  </si>
  <si>
    <t>inHg</t>
  </si>
  <si>
    <t>Relative Humidity</t>
  </si>
  <si>
    <t>%</t>
  </si>
  <si>
    <t>Range Card Settings</t>
  </si>
  <si>
    <t>Range Card Standard Values</t>
  </si>
  <si>
    <t>Baseline Wind Speed</t>
  </si>
  <si>
    <t>mph</t>
  </si>
  <si>
    <t>Baseline Target Speed</t>
  </si>
  <si>
    <t>Range Card Units</t>
  </si>
  <si>
    <t>Elevation Unit</t>
  </si>
  <si>
    <t>mil</t>
  </si>
  <si>
    <t>moa</t>
  </si>
  <si>
    <t>Windage Unit</t>
  </si>
  <si>
    <t>Start Range</t>
  </si>
  <si>
    <t>Range Increments</t>
  </si>
  <si>
    <t>MV Temperature Variation</t>
  </si>
  <si>
    <t>MV</t>
  </si>
  <si>
    <t>Advanced Settings</t>
  </si>
  <si>
    <t>Sight Data</t>
  </si>
  <si>
    <t>Elevation Scale Factor</t>
  </si>
  <si>
    <t>x</t>
  </si>
  <si>
    <t>Windage Scale Factor</t>
  </si>
  <si>
    <t>Zero Elevation Offset</t>
  </si>
  <si>
    <t>Zero Windage Offset</t>
  </si>
  <si>
    <t>Modifiable Input: recommended for advanced users only</t>
  </si>
  <si>
    <t>XXXX-XXXX-XXXX-XXXX</t>
  </si>
  <si>
    <t>XXX@XXX.XXX</t>
  </si>
  <si>
    <t>Weight of the bullet.</t>
  </si>
  <si>
    <t>Length of the bullet.</t>
  </si>
  <si>
    <t>Ballistic coefficient (BC) of the bullet as stated by the manufacturer (G1 or G7).</t>
  </si>
  <si>
    <t>Drag function (G1 or G7) corresponding to the entered BC.</t>
  </si>
  <si>
    <t>Velocity of the bullet at the muzzle when zeroing the rifle.</t>
  </si>
  <si>
    <t>Effect of powder temperature on muzzle velocity (higher temperatures result in higher MV). If you have not verified the temperature stability of your powder by a test, we recommend a value of 1.0 for average, 0.5 for good and 0.25 for high quality powders.</t>
  </si>
  <si>
    <t>Measured air temperature when zeroing the rifle.</t>
  </si>
  <si>
    <t>* Standard Value = 1.00 - change only if you did a Tall/Wide Target Test</t>
  </si>
  <si>
    <t>Target speed value used as standard value for lead on all dope/range cards. We recommend 1 m/s for easy scaling.</t>
  </si>
  <si>
    <t>Wind speed value used as standard value for wind hold data on all dope/range cards. We recommend 1 m/s or 5 m/s for easy scaling.</t>
  </si>
  <si>
    <t>Output unit for elevation hold data on all dope/range cards.</t>
  </si>
  <si>
    <t>Output unit for windage hold data (wind, spin drift, lead) on all dope/range cards.</t>
  </si>
  <si>
    <t>Distance between bore centerline and sight centerline.</t>
  </si>
  <si>
    <t>Distance at which you sight in your rifle (we recommend 100m or 100yd).</t>
  </si>
  <si>
    <t>Name and type of the bullet.</t>
  </si>
  <si>
    <t>Diameter of the bullet. Caution: Caliber is not necessarily the same as diameter!</t>
  </si>
  <si>
    <t>Distance the bullet needs to travel within the barrel for one turn around its own axis as stated by the rifle manufacturer.</t>
  </si>
  <si>
    <t>Clockwise rifling equals right, counterclockwise rifling euals left.</t>
  </si>
  <si>
    <t>Measured station pressure (equals atmospheric pressure or absolute pressure) when zeroing the rifle. Do not input barometric pressure!</t>
  </si>
  <si>
    <t>Measured relative humidity when zeroing the rifle.</t>
  </si>
  <si>
    <t>Altitude of shooting range when zeroing the rifle.</t>
  </si>
  <si>
    <t>Measured value when zeroing the rifle. Read value directly from a weather meter (e.g. Kestrel) or calculate at: https://wahiduddin.net/calc/calc_da_rh.htm (requires: temperature, station pressure, rel. humidity)</t>
  </si>
  <si>
    <t>If you have entered a "MV Temperature Variation" value, all fields will calculate automatically with a linear function. If you have tested your powder in different temperatures, you can modify the MV values to match your data.</t>
  </si>
  <si>
    <t>The minimum displayed range all dope/range cards.</t>
  </si>
  <si>
    <t>The increment used in displaying the calculated data on all dope/range cards.</t>
  </si>
  <si>
    <t>The vertical displacement of the POI (Point of Impact) at zero range. Enter negative value if POI is below POA (Point of Aim) at zero range and vice versa.</t>
  </si>
  <si>
    <t>The lateral displacement of the POI (Point of Impact) at zero range. This can be used to compensate effects like spin drift at longer distances. Enter negative Value if POI is left of POA (Point of Aim) at zero range.</t>
  </si>
  <si>
    <t>We use your E-mail only for sending you the generated output file.</t>
  </si>
  <si>
    <t>The Product support code can be found inside the product packaging.</t>
  </si>
  <si>
    <t>Version 6.0 (17.11.2020)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</si>
</sst>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0"/>
    <numFmt numFmtId="165" formatCode="0.000"/>
    <numFmt numFmtId="166" formatCode="0.0000000"/>
    <numFmt numFmtId="167" formatCode="0.0"/>
  </numFmts>
  <fonts count="6" x14ac:knownFonts="1">
    <font>
      <sz val="11"/>
      <color theme="1"/>
      <name val="Calibri"/>
      <family val="2"/>
      <scheme val="minor"/>
    </font>
    <font>
      <sz val="7"/>
      <color theme="1"/>
      <name val="Gravur Condensed Regular"/>
      <family val="3"/>
    </font>
    <font>
      <sz val="7"/>
      <color rgb="FF00B0F0"/>
      <name val="Gravur Condensed Regular"/>
      <family val="3"/>
    </font>
    <font>
      <sz val="7"/>
      <name val="Gravur Condensed Regular"/>
      <family val="3"/>
    </font>
    <font>
      <b/>
      <sz val="7"/>
      <color theme="1"/>
      <name val="Gravur Condensed Regular"/>
      <family val="3"/>
    </font>
    <font>
      <sz val="7"/>
      <color theme="0"/>
      <name val="Gravur Condensed Regular"/>
      <family val="3"/>
    </font>
  </fonts>
  <fills count="7">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59999389629810485"/>
        <bgColor indexed="64"/>
      </patternFill>
    </fill>
    <fill>
      <patternFill patternType="solid">
        <fgColor theme="5" tint="0.59999389629810485"/>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17">
    <xf numFmtId="0" fontId="0" fillId="0" borderId="0" xfId="0"/>
    <xf numFmtId="0" fontId="1" fillId="0" borderId="0" xfId="0" applyFont="1" applyAlignment="1" applyProtection="1">
      <alignment horizontal="center" vertical="center"/>
    </xf>
    <xf numFmtId="49" fontId="1" fillId="0" borderId="0" xfId="0" applyNumberFormat="1" applyFont="1" applyAlignment="1" applyProtection="1">
      <alignment vertical="center"/>
    </xf>
    <xf numFmtId="49" fontId="1" fillId="0" borderId="0" xfId="0" applyNumberFormat="1" applyFont="1" applyAlignment="1" applyProtection="1">
      <alignment horizontal="right" vertical="center"/>
    </xf>
    <xf numFmtId="49" fontId="1" fillId="0" borderId="0" xfId="0" applyNumberFormat="1" applyFont="1" applyFill="1" applyAlignment="1" applyProtection="1">
      <alignment horizontal="right" vertical="center"/>
    </xf>
    <xf numFmtId="0" fontId="1" fillId="0" borderId="0" xfId="0" applyFont="1" applyAlignment="1" applyProtection="1">
      <alignment vertical="center"/>
    </xf>
    <xf numFmtId="0" fontId="1"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Alignment="1" applyProtection="1">
      <alignment vertical="center"/>
    </xf>
    <xf numFmtId="49" fontId="1" fillId="0" borderId="0" xfId="0" applyNumberFormat="1" applyFont="1" applyBorder="1" applyAlignment="1" applyProtection="1">
      <alignment horizontal="right" vertical="center"/>
    </xf>
    <xf numFmtId="49" fontId="1" fillId="3" borderId="9" xfId="0" applyNumberFormat="1" applyFont="1" applyFill="1" applyBorder="1" applyAlignment="1" applyProtection="1">
      <alignment vertical="center"/>
    </xf>
    <xf numFmtId="49" fontId="1" fillId="3" borderId="12" xfId="0" applyNumberFormat="1" applyFont="1" applyFill="1" applyBorder="1" applyAlignment="1" applyProtection="1">
      <alignment vertical="center"/>
    </xf>
    <xf numFmtId="49" fontId="1" fillId="0" borderId="0" xfId="0" applyNumberFormat="1" applyFont="1" applyBorder="1" applyAlignment="1" applyProtection="1">
      <alignment vertical="center"/>
    </xf>
    <xf numFmtId="49" fontId="5" fillId="4" borderId="9" xfId="0" applyNumberFormat="1" applyFont="1" applyFill="1" applyBorder="1" applyAlignment="1" applyProtection="1">
      <alignment vertical="center"/>
    </xf>
    <xf numFmtId="49" fontId="5" fillId="4" borderId="10" xfId="0" applyNumberFormat="1" applyFont="1" applyFill="1" applyBorder="1" applyAlignment="1" applyProtection="1">
      <alignment horizontal="right" vertical="center"/>
    </xf>
    <xf numFmtId="49" fontId="5" fillId="4" borderId="11" xfId="0" applyNumberFormat="1" applyFont="1" applyFill="1" applyBorder="1" applyAlignment="1" applyProtection="1">
      <alignment horizontal="right" vertical="center"/>
    </xf>
    <xf numFmtId="49" fontId="5" fillId="4" borderId="15" xfId="0" applyNumberFormat="1" applyFont="1" applyFill="1" applyBorder="1" applyAlignment="1" applyProtection="1">
      <alignment vertical="center"/>
    </xf>
    <xf numFmtId="49" fontId="5" fillId="4" borderId="16" xfId="0" applyNumberFormat="1" applyFont="1" applyFill="1" applyBorder="1" applyAlignment="1" applyProtection="1">
      <alignment vertical="center"/>
    </xf>
    <xf numFmtId="49" fontId="1" fillId="3" borderId="18" xfId="0" applyNumberFormat="1" applyFont="1" applyFill="1" applyBorder="1" applyAlignment="1" applyProtection="1">
      <alignment vertical="center"/>
    </xf>
    <xf numFmtId="49" fontId="3" fillId="3" borderId="20" xfId="0" applyNumberFormat="1" applyFont="1" applyFill="1" applyBorder="1" applyAlignment="1" applyProtection="1">
      <alignment vertical="center"/>
    </xf>
    <xf numFmtId="0" fontId="1" fillId="3" borderId="20" xfId="0" applyFont="1" applyFill="1" applyBorder="1" applyAlignment="1" applyProtection="1">
      <alignment horizontal="right" vertical="center"/>
    </xf>
    <xf numFmtId="49" fontId="1" fillId="3" borderId="21" xfId="0" applyNumberFormat="1" applyFont="1" applyFill="1" applyBorder="1" applyAlignment="1" applyProtection="1">
      <alignment vertical="center"/>
    </xf>
    <xf numFmtId="49" fontId="3" fillId="3" borderId="22" xfId="0" applyNumberFormat="1" applyFont="1" applyFill="1" applyBorder="1" applyAlignment="1" applyProtection="1">
      <alignment vertical="center"/>
    </xf>
    <xf numFmtId="49" fontId="5" fillId="4" borderId="23" xfId="0" applyNumberFormat="1" applyFont="1" applyFill="1" applyBorder="1" applyAlignment="1" applyProtection="1">
      <alignment vertical="center"/>
    </xf>
    <xf numFmtId="49" fontId="5" fillId="4" borderId="24" xfId="0" applyNumberFormat="1" applyFont="1" applyFill="1" applyBorder="1" applyAlignment="1" applyProtection="1">
      <alignment horizontal="right" vertical="center"/>
    </xf>
    <xf numFmtId="0" fontId="3" fillId="3" borderId="5" xfId="0" applyFont="1" applyFill="1" applyBorder="1" applyAlignment="1" applyProtection="1">
      <alignment horizontal="left" vertical="center"/>
    </xf>
    <xf numFmtId="49" fontId="5" fillId="4" borderId="25" xfId="0" applyNumberFormat="1" applyFont="1" applyFill="1" applyBorder="1" applyAlignment="1" applyProtection="1">
      <alignment horizontal="right" vertical="center"/>
    </xf>
    <xf numFmtId="49" fontId="5" fillId="4" borderId="26" xfId="0" applyNumberFormat="1" applyFont="1" applyFill="1" applyBorder="1" applyAlignment="1" applyProtection="1">
      <alignment vertical="center"/>
    </xf>
    <xf numFmtId="49" fontId="5" fillId="4" borderId="27" xfId="0" applyNumberFormat="1" applyFont="1" applyFill="1" applyBorder="1" applyAlignment="1" applyProtection="1">
      <alignment horizontal="right" vertical="center"/>
    </xf>
    <xf numFmtId="0" fontId="1" fillId="3" borderId="14" xfId="0" applyFont="1" applyFill="1" applyBorder="1" applyAlignment="1" applyProtection="1">
      <alignment horizontal="right" vertical="center"/>
    </xf>
    <xf numFmtId="49" fontId="5" fillId="4" borderId="1" xfId="0" applyNumberFormat="1" applyFont="1" applyFill="1" applyBorder="1" applyAlignment="1" applyProtection="1">
      <alignment vertical="center"/>
    </xf>
    <xf numFmtId="49" fontId="5" fillId="4" borderId="3" xfId="0" applyNumberFormat="1" applyFont="1" applyFill="1" applyBorder="1" applyAlignment="1" applyProtection="1">
      <alignment horizontal="right" vertical="center"/>
    </xf>
    <xf numFmtId="49" fontId="3" fillId="3" borderId="9" xfId="0" applyNumberFormat="1" applyFont="1" applyFill="1" applyBorder="1" applyAlignment="1" applyProtection="1">
      <alignment vertical="center"/>
    </xf>
    <xf numFmtId="49" fontId="3" fillId="3" borderId="12" xfId="0" applyNumberFormat="1" applyFont="1" applyFill="1" applyBorder="1" applyAlignment="1" applyProtection="1">
      <alignment vertical="center"/>
    </xf>
    <xf numFmtId="49" fontId="1" fillId="3" borderId="28" xfId="0" applyNumberFormat="1" applyFont="1" applyFill="1" applyBorder="1" applyAlignment="1" applyProtection="1">
      <alignment vertical="center"/>
    </xf>
    <xf numFmtId="49" fontId="1" fillId="3" borderId="29" xfId="0" applyNumberFormat="1" applyFont="1" applyFill="1" applyBorder="1" applyAlignment="1" applyProtection="1">
      <alignment vertical="center"/>
    </xf>
    <xf numFmtId="49" fontId="1" fillId="3" borderId="22" xfId="0" applyNumberFormat="1" applyFont="1" applyFill="1" applyBorder="1" applyAlignment="1" applyProtection="1">
      <alignment vertical="center"/>
    </xf>
    <xf numFmtId="49" fontId="1" fillId="3" borderId="30" xfId="0" applyNumberFormat="1" applyFont="1" applyFill="1" applyBorder="1" applyAlignment="1" applyProtection="1">
      <alignment vertical="center"/>
    </xf>
    <xf numFmtId="49" fontId="4" fillId="0" borderId="0" xfId="0" applyNumberFormat="1" applyFont="1" applyFill="1" applyBorder="1" applyAlignment="1" applyProtection="1">
      <alignment horizontal="center" vertical="center"/>
    </xf>
    <xf numFmtId="49" fontId="5" fillId="4" borderId="1" xfId="0" applyNumberFormat="1" applyFont="1" applyFill="1" applyBorder="1" applyAlignment="1" applyProtection="1">
      <alignment horizontal="left" vertical="center"/>
    </xf>
    <xf numFmtId="49" fontId="5" fillId="4" borderId="2" xfId="0" applyNumberFormat="1" applyFont="1" applyFill="1" applyBorder="1" applyAlignment="1" applyProtection="1">
      <alignment horizontal="right" vertical="center"/>
    </xf>
    <xf numFmtId="2" fontId="1" fillId="3" borderId="30" xfId="0" applyNumberFormat="1" applyFont="1" applyFill="1" applyBorder="1" applyAlignment="1" applyProtection="1">
      <alignment horizontal="left" vertical="center"/>
    </xf>
    <xf numFmtId="0" fontId="1" fillId="3" borderId="32" xfId="0" applyFont="1" applyFill="1" applyBorder="1" applyAlignment="1" applyProtection="1">
      <alignment horizontal="right" vertical="center"/>
    </xf>
    <xf numFmtId="2" fontId="1" fillId="3" borderId="18" xfId="0" applyNumberFormat="1" applyFont="1" applyFill="1" applyBorder="1" applyAlignment="1" applyProtection="1">
      <alignment horizontal="left" vertical="center"/>
    </xf>
    <xf numFmtId="2" fontId="1" fillId="3" borderId="12" xfId="0" applyNumberFormat="1" applyFont="1" applyFill="1" applyBorder="1" applyAlignment="1" applyProtection="1">
      <alignment horizontal="left" vertical="center"/>
    </xf>
    <xf numFmtId="0" fontId="1" fillId="0" borderId="0" xfId="0" applyFont="1" applyAlignment="1" applyProtection="1">
      <alignment horizontal="right" vertical="center"/>
      <protection hidden="1"/>
    </xf>
    <xf numFmtId="0" fontId="2" fillId="0" borderId="0" xfId="0" applyFont="1" applyAlignment="1" applyProtection="1">
      <alignment vertical="center"/>
      <protection hidden="1"/>
    </xf>
    <xf numFmtId="0" fontId="2" fillId="0" borderId="0" xfId="0" applyFont="1" applyFill="1" applyBorder="1" applyAlignment="1" applyProtection="1">
      <alignment horizontal="left" vertical="center"/>
      <protection hidden="1"/>
    </xf>
    <xf numFmtId="0" fontId="2" fillId="0" borderId="0" xfId="0" applyFont="1" applyAlignment="1" applyProtection="1">
      <alignment horizontal="left" vertical="center"/>
      <protection hidden="1"/>
    </xf>
    <xf numFmtId="0" fontId="1" fillId="0" borderId="0" xfId="0" applyFont="1" applyAlignment="1" applyProtection="1">
      <alignment horizontal="center" vertical="center"/>
      <protection hidden="1"/>
    </xf>
    <xf numFmtId="0" fontId="1" fillId="0" borderId="0" xfId="0" applyFont="1" applyFill="1" applyBorder="1" applyAlignment="1" applyProtection="1">
      <alignment horizontal="right" vertical="center"/>
      <protection hidden="1"/>
    </xf>
    <xf numFmtId="0" fontId="1" fillId="2" borderId="20" xfId="0" applyFont="1" applyFill="1" applyBorder="1" applyAlignment="1" applyProtection="1">
      <alignment horizontal="right" vertical="center"/>
      <protection locked="0"/>
    </xf>
    <xf numFmtId="0" fontId="1" fillId="2" borderId="14" xfId="0" applyFont="1" applyFill="1" applyBorder="1" applyAlignment="1" applyProtection="1">
      <alignment horizontal="right" vertical="center"/>
      <protection locked="0"/>
    </xf>
    <xf numFmtId="0" fontId="1" fillId="2" borderId="11" xfId="0" applyFont="1" applyFill="1" applyBorder="1" applyAlignment="1" applyProtection="1">
      <alignment horizontal="right" vertical="center"/>
      <protection locked="0"/>
    </xf>
    <xf numFmtId="0" fontId="3" fillId="2" borderId="11" xfId="0" applyFont="1" applyFill="1" applyBorder="1" applyAlignment="1" applyProtection="1">
      <alignment horizontal="right" vertical="center"/>
      <protection locked="0"/>
    </xf>
    <xf numFmtId="0" fontId="3" fillId="2" borderId="14" xfId="0" applyFont="1" applyFill="1" applyBorder="1" applyAlignment="1" applyProtection="1">
      <alignment horizontal="right" vertical="center"/>
      <protection locked="0"/>
    </xf>
    <xf numFmtId="0" fontId="1" fillId="0" borderId="0" xfId="0" applyFont="1" applyProtection="1"/>
    <xf numFmtId="0" fontId="1" fillId="0" borderId="0" xfId="0" applyFont="1" applyAlignment="1" applyProtection="1">
      <alignment horizontal="left" vertical="center" wrapText="1"/>
    </xf>
    <xf numFmtId="0" fontId="1" fillId="4" borderId="16" xfId="0" applyFont="1" applyFill="1" applyBorder="1" applyAlignment="1" applyProtection="1">
      <alignment horizontal="right" vertical="center"/>
    </xf>
    <xf numFmtId="0" fontId="1" fillId="4" borderId="17" xfId="0" applyFont="1" applyFill="1" applyBorder="1" applyAlignment="1" applyProtection="1">
      <alignment horizontal="right" vertical="center"/>
    </xf>
    <xf numFmtId="0" fontId="1" fillId="3" borderId="1"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164" fontId="1" fillId="3" borderId="2" xfId="0" applyNumberFormat="1" applyFont="1" applyFill="1" applyBorder="1" applyAlignment="1" applyProtection="1">
      <alignment horizontal="left" vertical="center"/>
    </xf>
    <xf numFmtId="0" fontId="1" fillId="3" borderId="3" xfId="0" applyFont="1" applyFill="1" applyBorder="1" applyAlignment="1" applyProtection="1">
      <alignment horizontal="left" vertical="center"/>
    </xf>
    <xf numFmtId="166" fontId="1" fillId="3" borderId="4" xfId="0" applyNumberFormat="1" applyFont="1" applyFill="1" applyBorder="1" applyAlignment="1" applyProtection="1">
      <alignment horizontal="left" vertical="center"/>
    </xf>
    <xf numFmtId="0" fontId="1" fillId="3" borderId="0" xfId="0" applyFont="1" applyFill="1" applyBorder="1" applyAlignment="1" applyProtection="1">
      <alignment horizontal="left" vertical="center"/>
    </xf>
    <xf numFmtId="164" fontId="1" fillId="3" borderId="0" xfId="0" applyNumberFormat="1" applyFont="1" applyFill="1" applyBorder="1" applyAlignment="1" applyProtection="1">
      <alignment horizontal="left" vertical="center"/>
    </xf>
    <xf numFmtId="0" fontId="1" fillId="3" borderId="5" xfId="0" applyFont="1" applyFill="1" applyBorder="1" applyAlignment="1" applyProtection="1">
      <alignment horizontal="left" vertical="center"/>
    </xf>
    <xf numFmtId="166" fontId="3" fillId="3" borderId="4" xfId="0" applyNumberFormat="1" applyFont="1" applyFill="1" applyBorder="1" applyAlignment="1" applyProtection="1">
      <alignment horizontal="left" vertical="center"/>
    </xf>
    <xf numFmtId="0" fontId="3" fillId="3" borderId="0" xfId="0" applyFont="1" applyFill="1" applyBorder="1" applyAlignment="1" applyProtection="1">
      <alignment horizontal="left" vertical="center"/>
    </xf>
    <xf numFmtId="164" fontId="3" fillId="3" borderId="0" xfId="0" applyNumberFormat="1" applyFont="1" applyFill="1" applyBorder="1" applyAlignment="1" applyProtection="1">
      <alignment horizontal="left" vertical="center"/>
    </xf>
    <xf numFmtId="49" fontId="1" fillId="3" borderId="14" xfId="0" applyNumberFormat="1" applyFont="1" applyFill="1" applyBorder="1" applyAlignment="1" applyProtection="1">
      <alignment horizontal="right" vertical="center"/>
    </xf>
    <xf numFmtId="166" fontId="1" fillId="3" borderId="6" xfId="0" applyNumberFormat="1" applyFont="1" applyFill="1" applyBorder="1" applyAlignment="1" applyProtection="1">
      <alignment horizontal="left" vertical="center"/>
    </xf>
    <xf numFmtId="0" fontId="1" fillId="3" borderId="7" xfId="0" applyFont="1" applyFill="1" applyBorder="1" applyAlignment="1" applyProtection="1">
      <alignment horizontal="left" vertical="center"/>
    </xf>
    <xf numFmtId="164" fontId="1" fillId="3" borderId="7" xfId="0" applyNumberFormat="1" applyFont="1" applyFill="1" applyBorder="1" applyAlignment="1" applyProtection="1">
      <alignment horizontal="left" vertical="center"/>
    </xf>
    <xf numFmtId="0" fontId="1" fillId="3" borderId="8" xfId="0" applyFont="1" applyFill="1" applyBorder="1" applyAlignment="1" applyProtection="1">
      <alignment horizontal="left" vertical="center"/>
    </xf>
    <xf numFmtId="0" fontId="1" fillId="5" borderId="31" xfId="0" applyNumberFormat="1" applyFont="1" applyFill="1" applyBorder="1" applyAlignment="1" applyProtection="1">
      <alignment horizontal="right" vertical="center"/>
      <protection locked="0"/>
    </xf>
    <xf numFmtId="0" fontId="1" fillId="5" borderId="13" xfId="0" applyNumberFormat="1" applyFont="1" applyFill="1" applyBorder="1" applyAlignment="1" applyProtection="1">
      <alignment horizontal="right" vertical="center"/>
      <protection locked="0"/>
    </xf>
    <xf numFmtId="0" fontId="3" fillId="5" borderId="10" xfId="0" applyNumberFormat="1" applyFont="1" applyFill="1" applyBorder="1" applyAlignment="1" applyProtection="1">
      <alignment horizontal="right" vertical="center"/>
      <protection locked="0"/>
    </xf>
    <xf numFmtId="0" fontId="3" fillId="5" borderId="13" xfId="0" applyNumberFormat="1" applyFont="1" applyFill="1" applyBorder="1" applyAlignment="1" applyProtection="1">
      <alignment horizontal="right" vertical="center"/>
      <protection locked="0"/>
    </xf>
    <xf numFmtId="1" fontId="1" fillId="5" borderId="10" xfId="0" applyNumberFormat="1" applyFont="1" applyFill="1" applyBorder="1" applyAlignment="1" applyProtection="1">
      <alignment horizontal="right" vertical="center"/>
      <protection locked="0"/>
    </xf>
    <xf numFmtId="1" fontId="1" fillId="5" borderId="19" xfId="0" applyNumberFormat="1" applyFont="1" applyFill="1" applyBorder="1" applyAlignment="1" applyProtection="1">
      <alignment horizontal="right" vertical="center"/>
      <protection locked="0"/>
    </xf>
    <xf numFmtId="167" fontId="1" fillId="5" borderId="19" xfId="0" applyNumberFormat="1" applyFont="1" applyFill="1" applyBorder="1" applyAlignment="1" applyProtection="1">
      <alignment horizontal="right" vertical="center"/>
      <protection locked="0"/>
    </xf>
    <xf numFmtId="1" fontId="1" fillId="5" borderId="13" xfId="0" applyNumberFormat="1" applyFont="1" applyFill="1" applyBorder="1" applyAlignment="1" applyProtection="1">
      <alignment horizontal="right" vertical="center"/>
      <protection locked="0"/>
    </xf>
    <xf numFmtId="0" fontId="1" fillId="5" borderId="10" xfId="0" applyNumberFormat="1" applyFont="1" applyFill="1" applyBorder="1" applyAlignment="1" applyProtection="1">
      <alignment horizontal="right" vertical="center"/>
      <protection locked="0"/>
    </xf>
    <xf numFmtId="2" fontId="1" fillId="5" borderId="19" xfId="0" applyNumberFormat="1" applyFont="1" applyFill="1" applyBorder="1" applyAlignment="1" applyProtection="1">
      <alignment horizontal="right" vertical="center"/>
      <protection locked="0"/>
    </xf>
    <xf numFmtId="2" fontId="1" fillId="5" borderId="13" xfId="0" applyNumberFormat="1" applyFont="1" applyFill="1" applyBorder="1" applyAlignment="1" applyProtection="1">
      <alignment horizontal="right" vertical="center"/>
      <protection locked="0"/>
    </xf>
    <xf numFmtId="167" fontId="1" fillId="5" borderId="10" xfId="0" applyNumberFormat="1" applyFont="1" applyFill="1" applyBorder="1" applyAlignment="1" applyProtection="1">
      <alignment horizontal="right" vertical="center"/>
      <protection locked="0"/>
    </xf>
    <xf numFmtId="165" fontId="1" fillId="5" borderId="19" xfId="0" applyNumberFormat="1" applyFont="1" applyFill="1" applyBorder="1" applyAlignment="1" applyProtection="1">
      <alignment horizontal="right" vertical="center"/>
      <protection locked="0"/>
    </xf>
    <xf numFmtId="167" fontId="1" fillId="6" borderId="31" xfId="0" applyNumberFormat="1" applyFont="1" applyFill="1" applyBorder="1" applyAlignment="1" applyProtection="1">
      <alignment vertical="center"/>
      <protection locked="0"/>
    </xf>
    <xf numFmtId="167" fontId="1" fillId="6" borderId="19" xfId="0" applyNumberFormat="1" applyFont="1" applyFill="1" applyBorder="1" applyAlignment="1" applyProtection="1">
      <alignment vertical="center"/>
      <protection locked="0"/>
    </xf>
    <xf numFmtId="167" fontId="1" fillId="6" borderId="13" xfId="0" applyNumberFormat="1" applyFont="1" applyFill="1" applyBorder="1" applyAlignment="1" applyProtection="1">
      <alignment vertical="center"/>
      <protection locked="0"/>
    </xf>
    <xf numFmtId="2" fontId="1" fillId="6" borderId="19" xfId="0" applyNumberFormat="1" applyFont="1" applyFill="1" applyBorder="1" applyAlignment="1" applyProtection="1">
      <alignment horizontal="right" vertical="center"/>
      <protection locked="0"/>
    </xf>
    <xf numFmtId="2" fontId="1" fillId="6" borderId="13" xfId="0" applyNumberFormat="1" applyFont="1" applyFill="1" applyBorder="1" applyAlignment="1" applyProtection="1">
      <alignment horizontal="right" vertical="center"/>
      <protection locked="0"/>
    </xf>
    <xf numFmtId="167" fontId="3" fillId="6" borderId="10" xfId="0" applyNumberFormat="1" applyFont="1" applyFill="1" applyBorder="1" applyAlignment="1" applyProtection="1">
      <alignment horizontal="right" vertical="center"/>
      <protection locked="0"/>
    </xf>
    <xf numFmtId="167" fontId="3" fillId="6" borderId="13" xfId="0" applyNumberFormat="1" applyFont="1" applyFill="1" applyBorder="1" applyAlignment="1" applyProtection="1">
      <alignment horizontal="right" vertical="center"/>
      <protection locked="0"/>
    </xf>
    <xf numFmtId="49" fontId="3" fillId="0" borderId="0" xfId="0" applyNumberFormat="1" applyFont="1" applyFill="1" applyAlignment="1" applyProtection="1">
      <alignment horizontal="right" vertical="center"/>
    </xf>
    <xf numFmtId="0" fontId="3" fillId="0" borderId="0" xfId="0" applyFont="1" applyAlignment="1" applyProtection="1">
      <alignment vertical="center"/>
    </xf>
    <xf numFmtId="0" fontId="3" fillId="0" borderId="0" xfId="0" applyFont="1" applyAlignment="1" applyProtection="1">
      <alignment horizontal="left" vertical="center"/>
    </xf>
    <xf numFmtId="167" fontId="3" fillId="0" borderId="0" xfId="0" applyNumberFormat="1" applyFont="1" applyAlignment="1" applyProtection="1">
      <alignment horizontal="right" vertical="center"/>
    </xf>
    <xf numFmtId="0" fontId="3" fillId="0" borderId="0" xfId="0" applyFont="1" applyFill="1" applyAlignment="1" applyProtection="1">
      <alignment horizontal="left" vertical="center"/>
    </xf>
    <xf numFmtId="49" fontId="1" fillId="5" borderId="13" xfId="0" applyNumberFormat="1" applyFont="1" applyFill="1" applyBorder="1" applyAlignment="1" applyProtection="1">
      <alignment horizontal="center" vertical="center"/>
      <protection locked="0"/>
    </xf>
    <xf numFmtId="49" fontId="1" fillId="5" borderId="14" xfId="0" applyNumberFormat="1" applyFont="1" applyFill="1" applyBorder="1" applyAlignment="1" applyProtection="1">
      <alignment horizontal="center" vertical="center"/>
      <protection locked="0"/>
    </xf>
    <xf numFmtId="49" fontId="1" fillId="6" borderId="21" xfId="0" applyNumberFormat="1" applyFont="1" applyFill="1" applyBorder="1" applyAlignment="1" applyProtection="1">
      <alignment horizontal="center" vertical="center"/>
    </xf>
    <xf numFmtId="49" fontId="1" fillId="6" borderId="36" xfId="0" applyNumberFormat="1" applyFont="1" applyFill="1" applyBorder="1" applyAlignment="1" applyProtection="1">
      <alignment horizontal="center" vertical="center"/>
    </xf>
    <xf numFmtId="49" fontId="1" fillId="6" borderId="37" xfId="0" applyNumberFormat="1" applyFont="1" applyFill="1" applyBorder="1" applyAlignment="1" applyProtection="1">
      <alignment horizontal="center" vertical="center"/>
    </xf>
    <xf numFmtId="49" fontId="1" fillId="2" borderId="33" xfId="0" applyNumberFormat="1" applyFont="1" applyFill="1" applyBorder="1" applyAlignment="1" applyProtection="1">
      <alignment horizontal="center" vertical="center"/>
    </xf>
    <xf numFmtId="49" fontId="1" fillId="2" borderId="34" xfId="0" applyNumberFormat="1" applyFont="1" applyFill="1" applyBorder="1" applyAlignment="1" applyProtection="1">
      <alignment horizontal="center" vertical="center"/>
    </xf>
    <xf numFmtId="49" fontId="1" fillId="2" borderId="35" xfId="0" applyNumberFormat="1" applyFont="1" applyFill="1" applyBorder="1" applyAlignment="1" applyProtection="1">
      <alignment horizontal="center" vertical="center"/>
    </xf>
    <xf numFmtId="49" fontId="1" fillId="5" borderId="10" xfId="0" applyNumberFormat="1" applyFont="1" applyFill="1" applyBorder="1" applyAlignment="1" applyProtection="1">
      <alignment horizontal="center" vertical="center"/>
      <protection locked="0"/>
    </xf>
    <xf numFmtId="49" fontId="1" fillId="5" borderId="11" xfId="0" applyNumberFormat="1" applyFont="1" applyFill="1" applyBorder="1" applyAlignment="1" applyProtection="1">
      <alignment horizontal="center" vertical="center"/>
      <protection locked="0"/>
    </xf>
    <xf numFmtId="49" fontId="4" fillId="0" borderId="15" xfId="0" applyNumberFormat="1" applyFont="1" applyFill="1" applyBorder="1" applyAlignment="1" applyProtection="1">
      <alignment horizontal="center" vertical="center"/>
    </xf>
    <xf numFmtId="49" fontId="4" fillId="0" borderId="16" xfId="0" applyNumberFormat="1" applyFont="1" applyFill="1" applyBorder="1" applyAlignment="1" applyProtection="1">
      <alignment horizontal="center" vertical="center"/>
    </xf>
    <xf numFmtId="49" fontId="4" fillId="0" borderId="17" xfId="0" applyNumberFormat="1" applyFont="1" applyFill="1" applyBorder="1" applyAlignment="1" applyProtection="1">
      <alignment horizontal="center" vertical="center"/>
    </xf>
    <xf numFmtId="49" fontId="1" fillId="5" borderId="28" xfId="0" applyNumberFormat="1" applyFont="1" applyFill="1" applyBorder="1" applyAlignment="1" applyProtection="1">
      <alignment horizontal="center" vertical="center"/>
    </xf>
    <xf numFmtId="49" fontId="1" fillId="5" borderId="38" xfId="0" applyNumberFormat="1" applyFont="1" applyFill="1" applyBorder="1" applyAlignment="1" applyProtection="1">
      <alignment horizontal="center" vertical="center"/>
    </xf>
    <xf numFmtId="49" fontId="1" fillId="5" borderId="39" xfId="0" applyNumberFormat="1" applyFont="1" applyFill="1" applyBorder="1" applyAlignment="1" applyProtection="1">
      <alignment horizontal="center" vertical="center"/>
    </xf>
  </cellXfs>
  <cellStyles count="1">
    <cellStyle name="Standard"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2"/>
  <sheetViews>
    <sheetView tabSelected="1" zoomScale="205" zoomScaleNormal="205" zoomScalePageLayoutView="130" workbookViewId="0">
      <selection activeCell="C13" sqref="C13"/>
    </sheetView>
  </sheetViews>
  <sheetFormatPr baseColWidth="10" defaultColWidth="12.85546875" defaultRowHeight="9" x14ac:dyDescent="0.15"/>
  <cols>
    <col min="1" max="1" width="2.42578125" style="1" bestFit="1" customWidth="1"/>
    <col min="2" max="2" width="23.7109375" style="2" bestFit="1" customWidth="1"/>
    <col min="3" max="3" width="14.140625" style="3" bestFit="1" customWidth="1"/>
    <col min="4" max="4" width="8.7109375" style="3" customWidth="1"/>
    <col min="5" max="5" width="8.7109375" style="4" customWidth="1"/>
    <col min="6" max="6" width="162.28515625" style="96" bestFit="1" customWidth="1"/>
    <col min="7" max="7" width="8.7109375" style="4" customWidth="1"/>
    <col min="8" max="11" width="8.7109375" style="6" customWidth="1"/>
    <col min="12" max="12" width="8.7109375" style="56" customWidth="1"/>
    <col min="13" max="13" width="8.7109375" style="6" customWidth="1"/>
    <col min="14" max="14" width="8.7109375" style="7" customWidth="1"/>
    <col min="15" max="16" width="12.85546875" style="8"/>
    <col min="17" max="16384" width="12.85546875" style="5"/>
  </cols>
  <sheetData>
    <row r="1" spans="1:16" x14ac:dyDescent="0.25">
      <c r="A1" s="1">
        <v>1</v>
      </c>
      <c r="B1" s="2" t="s">
        <v>105</v>
      </c>
      <c r="L1" s="5"/>
    </row>
    <row r="2" spans="1:16" ht="9.75" thickBot="1" x14ac:dyDescent="0.3">
      <c r="A2" s="1">
        <f>A1+1</f>
        <v>2</v>
      </c>
      <c r="L2" s="5"/>
    </row>
    <row r="3" spans="1:16" x14ac:dyDescent="0.25">
      <c r="A3" s="1">
        <f>A2+1</f>
        <v>3</v>
      </c>
      <c r="B3" s="114" t="s">
        <v>0</v>
      </c>
      <c r="C3" s="115"/>
      <c r="D3" s="116"/>
      <c r="L3" s="5"/>
    </row>
    <row r="4" spans="1:16" x14ac:dyDescent="0.25">
      <c r="A4" s="1">
        <f t="shared" ref="A4:A65" si="0">A3+1</f>
        <v>4</v>
      </c>
      <c r="B4" s="106" t="s">
        <v>1</v>
      </c>
      <c r="C4" s="107"/>
      <c r="D4" s="108"/>
      <c r="L4" s="5"/>
    </row>
    <row r="5" spans="1:16" ht="9.75" thickBot="1" x14ac:dyDescent="0.3">
      <c r="A5" s="1">
        <f t="shared" si="0"/>
        <v>5</v>
      </c>
      <c r="B5" s="103" t="s">
        <v>73</v>
      </c>
      <c r="C5" s="104"/>
      <c r="D5" s="105"/>
      <c r="L5" s="5"/>
    </row>
    <row r="6" spans="1:16" ht="9.75" thickBot="1" x14ac:dyDescent="0.3">
      <c r="A6" s="1">
        <f t="shared" si="0"/>
        <v>6</v>
      </c>
      <c r="L6" s="5"/>
    </row>
    <row r="7" spans="1:16" x14ac:dyDescent="0.25">
      <c r="A7" s="1">
        <f t="shared" si="0"/>
        <v>7</v>
      </c>
      <c r="B7" s="10" t="s">
        <v>2</v>
      </c>
      <c r="C7" s="109" t="s">
        <v>75</v>
      </c>
      <c r="D7" s="110"/>
      <c r="F7" s="97" t="s">
        <v>103</v>
      </c>
      <c r="L7" s="5"/>
    </row>
    <row r="8" spans="1:16" ht="9.75" thickBot="1" x14ac:dyDescent="0.3">
      <c r="A8" s="1">
        <f t="shared" si="0"/>
        <v>8</v>
      </c>
      <c r="B8" s="11" t="s">
        <v>3</v>
      </c>
      <c r="C8" s="101" t="s">
        <v>74</v>
      </c>
      <c r="D8" s="102"/>
      <c r="F8" s="97" t="s">
        <v>104</v>
      </c>
      <c r="L8" s="5"/>
    </row>
    <row r="9" spans="1:16" ht="9.75" thickBot="1" x14ac:dyDescent="0.3">
      <c r="A9" s="1">
        <f t="shared" si="0"/>
        <v>9</v>
      </c>
      <c r="B9" s="12"/>
      <c r="C9" s="9"/>
      <c r="D9" s="9"/>
      <c r="F9" s="97"/>
      <c r="L9" s="5"/>
    </row>
    <row r="10" spans="1:16" ht="9.75" thickBot="1" x14ac:dyDescent="0.2">
      <c r="A10" s="1">
        <f t="shared" si="0"/>
        <v>10</v>
      </c>
      <c r="B10" s="111" t="s">
        <v>4</v>
      </c>
      <c r="C10" s="112"/>
      <c r="D10" s="113"/>
      <c r="F10" s="97"/>
      <c r="H10" s="111" t="s">
        <v>5</v>
      </c>
      <c r="I10" s="112"/>
      <c r="J10" s="112"/>
      <c r="K10" s="113"/>
      <c r="M10" s="45"/>
      <c r="N10" s="46"/>
      <c r="P10" s="5"/>
    </row>
    <row r="11" spans="1:16" ht="9.75" thickBot="1" x14ac:dyDescent="0.3">
      <c r="A11" s="1">
        <f t="shared" si="0"/>
        <v>11</v>
      </c>
      <c r="B11" s="57"/>
      <c r="C11" s="57"/>
      <c r="D11" s="57"/>
      <c r="E11" s="57"/>
      <c r="F11" s="97"/>
      <c r="G11" s="57"/>
      <c r="L11" s="5"/>
      <c r="M11" s="47"/>
      <c r="N11" s="46"/>
      <c r="P11" s="5"/>
    </row>
    <row r="12" spans="1:16" ht="9.75" thickBot="1" x14ac:dyDescent="0.3">
      <c r="A12" s="1">
        <f t="shared" si="0"/>
        <v>12</v>
      </c>
      <c r="B12" s="13" t="s">
        <v>6</v>
      </c>
      <c r="C12" s="14"/>
      <c r="D12" s="15"/>
      <c r="F12" s="98"/>
      <c r="H12" s="16" t="s">
        <v>7</v>
      </c>
      <c r="I12" s="58"/>
      <c r="J12" s="17" t="s">
        <v>8</v>
      </c>
      <c r="K12" s="59"/>
      <c r="L12" s="5"/>
      <c r="M12" s="47"/>
      <c r="N12" s="46"/>
      <c r="P12" s="5"/>
    </row>
    <row r="13" spans="1:16" x14ac:dyDescent="0.25">
      <c r="A13" s="1">
        <f t="shared" si="0"/>
        <v>13</v>
      </c>
      <c r="B13" s="18" t="s">
        <v>9</v>
      </c>
      <c r="C13" s="85" t="s">
        <v>10</v>
      </c>
      <c r="D13" s="19"/>
      <c r="F13" s="98" t="s">
        <v>90</v>
      </c>
      <c r="H13" s="60" t="str">
        <f>UPPER(C13)</f>
        <v>HORNADY ELD MATCH</v>
      </c>
      <c r="I13" s="61"/>
      <c r="J13" s="62"/>
      <c r="K13" s="63"/>
      <c r="L13" s="5"/>
      <c r="M13" s="47"/>
      <c r="N13" s="46"/>
      <c r="P13" s="5"/>
    </row>
    <row r="14" spans="1:16" x14ac:dyDescent="0.25">
      <c r="A14" s="1">
        <f>A13+1</f>
        <v>14</v>
      </c>
      <c r="B14" s="18" t="s">
        <v>11</v>
      </c>
      <c r="C14" s="88">
        <v>0.26400000000000001</v>
      </c>
      <c r="D14" s="51" t="s">
        <v>12</v>
      </c>
      <c r="F14" s="98" t="s">
        <v>91</v>
      </c>
      <c r="H14" s="64">
        <f>IF($D14="mm",$C14,$C14*25.4)</f>
        <v>6.7055999999999996</v>
      </c>
      <c r="I14" s="65" t="s">
        <v>13</v>
      </c>
      <c r="J14" s="66">
        <f>IF($D14="in",$C14,$C14/25.4)</f>
        <v>0.26400000000000001</v>
      </c>
      <c r="K14" s="67" t="s">
        <v>12</v>
      </c>
      <c r="L14" s="5"/>
      <c r="M14" s="47" t="s">
        <v>13</v>
      </c>
      <c r="N14" s="48" t="s">
        <v>12</v>
      </c>
      <c r="P14" s="5"/>
    </row>
    <row r="15" spans="1:16" x14ac:dyDescent="0.25">
      <c r="A15" s="1">
        <f t="shared" si="0"/>
        <v>15</v>
      </c>
      <c r="B15" s="18" t="s">
        <v>14</v>
      </c>
      <c r="C15" s="82">
        <v>140</v>
      </c>
      <c r="D15" s="51" t="s">
        <v>15</v>
      </c>
      <c r="F15" s="98" t="s">
        <v>76</v>
      </c>
      <c r="H15" s="64">
        <f>IF($D15="g",$C15,$C15/15.4323)</f>
        <v>9.0718817026625977</v>
      </c>
      <c r="I15" s="65" t="s">
        <v>16</v>
      </c>
      <c r="J15" s="66">
        <f>IF($D15="gr",$C15,$C15*15.4323)</f>
        <v>140</v>
      </c>
      <c r="K15" s="67" t="s">
        <v>15</v>
      </c>
      <c r="L15" s="5"/>
      <c r="M15" s="47" t="s">
        <v>16</v>
      </c>
      <c r="N15" s="48" t="s">
        <v>15</v>
      </c>
      <c r="P15" s="5"/>
    </row>
    <row r="16" spans="1:16" x14ac:dyDescent="0.25">
      <c r="A16" s="1">
        <f t="shared" si="0"/>
        <v>16</v>
      </c>
      <c r="B16" s="18" t="s">
        <v>17</v>
      </c>
      <c r="C16" s="88">
        <v>1.38</v>
      </c>
      <c r="D16" s="51" t="s">
        <v>12</v>
      </c>
      <c r="F16" s="98" t="s">
        <v>77</v>
      </c>
      <c r="H16" s="64">
        <f>IF($D16="mm",$C16,$C16*25.4)</f>
        <v>35.051999999999992</v>
      </c>
      <c r="I16" s="65" t="s">
        <v>13</v>
      </c>
      <c r="J16" s="66">
        <f>IF($D16="in",$C16,$C16/25.4)</f>
        <v>1.38</v>
      </c>
      <c r="K16" s="67" t="s">
        <v>12</v>
      </c>
      <c r="L16" s="5"/>
      <c r="M16" s="47" t="s">
        <v>13</v>
      </c>
      <c r="N16" s="48" t="s">
        <v>12</v>
      </c>
      <c r="P16" s="5"/>
    </row>
    <row r="17" spans="1:16" x14ac:dyDescent="0.25">
      <c r="A17" s="1">
        <f t="shared" si="0"/>
        <v>17</v>
      </c>
      <c r="B17" s="18" t="s">
        <v>18</v>
      </c>
      <c r="C17" s="88">
        <v>0.32600000000000001</v>
      </c>
      <c r="D17" s="20" t="s">
        <v>19</v>
      </c>
      <c r="F17" s="98" t="s">
        <v>78</v>
      </c>
      <c r="H17" s="64">
        <f>C17</f>
        <v>0.32600000000000001</v>
      </c>
      <c r="I17" s="65" t="s">
        <v>19</v>
      </c>
      <c r="J17" s="66"/>
      <c r="K17" s="67"/>
      <c r="L17" s="5"/>
      <c r="M17" s="47" t="s">
        <v>19</v>
      </c>
      <c r="N17" s="47"/>
      <c r="P17" s="5"/>
    </row>
    <row r="18" spans="1:16" ht="9.75" thickBot="1" x14ac:dyDescent="0.3">
      <c r="A18" s="1">
        <f t="shared" si="0"/>
        <v>18</v>
      </c>
      <c r="B18" s="21" t="s">
        <v>20</v>
      </c>
      <c r="C18" s="22"/>
      <c r="D18" s="52" t="s">
        <v>21</v>
      </c>
      <c r="F18" s="98" t="s">
        <v>79</v>
      </c>
      <c r="H18" s="64" t="str">
        <f>D18</f>
        <v>G7</v>
      </c>
      <c r="I18" s="65"/>
      <c r="J18" s="66"/>
      <c r="K18" s="67"/>
      <c r="L18" s="5"/>
      <c r="M18" s="47" t="s">
        <v>22</v>
      </c>
      <c r="N18" s="48" t="s">
        <v>21</v>
      </c>
      <c r="P18" s="5"/>
    </row>
    <row r="19" spans="1:16" ht="9.75" thickBot="1" x14ac:dyDescent="0.3">
      <c r="A19" s="1">
        <f t="shared" si="0"/>
        <v>19</v>
      </c>
      <c r="B19" s="5"/>
      <c r="C19" s="5"/>
      <c r="D19" s="5"/>
      <c r="F19" s="98"/>
      <c r="H19" s="64"/>
      <c r="I19" s="65"/>
      <c r="J19" s="66"/>
      <c r="K19" s="67"/>
      <c r="L19" s="5"/>
      <c r="M19" s="47"/>
      <c r="N19" s="48"/>
      <c r="P19" s="5"/>
    </row>
    <row r="20" spans="1:16" ht="9.75" thickBot="1" x14ac:dyDescent="0.3">
      <c r="A20" s="1">
        <f t="shared" si="0"/>
        <v>20</v>
      </c>
      <c r="B20" s="23" t="s">
        <v>23</v>
      </c>
      <c r="C20" s="24"/>
      <c r="D20" s="24"/>
      <c r="F20" s="98"/>
      <c r="H20" s="64"/>
      <c r="I20" s="65"/>
      <c r="J20" s="66"/>
      <c r="K20" s="67"/>
      <c r="L20" s="5"/>
      <c r="M20" s="47"/>
      <c r="N20" s="47"/>
      <c r="P20" s="5"/>
    </row>
    <row r="21" spans="1:16" x14ac:dyDescent="0.25">
      <c r="A21" s="1">
        <f t="shared" si="0"/>
        <v>21</v>
      </c>
      <c r="B21" s="10" t="s">
        <v>24</v>
      </c>
      <c r="C21" s="87">
        <v>2710</v>
      </c>
      <c r="D21" s="53" t="s">
        <v>25</v>
      </c>
      <c r="F21" s="98" t="s">
        <v>80</v>
      </c>
      <c r="H21" s="68">
        <f>IF($D21="m/s",$C21,$C21*0.3048)</f>
        <v>826.00800000000004</v>
      </c>
      <c r="I21" s="69" t="s">
        <v>26</v>
      </c>
      <c r="J21" s="70">
        <f>IF($D21="fps",$C21,$C21/0.3048)</f>
        <v>2710</v>
      </c>
      <c r="K21" s="25" t="s">
        <v>25</v>
      </c>
      <c r="L21" s="5"/>
      <c r="M21" s="47" t="s">
        <v>26</v>
      </c>
      <c r="N21" s="47" t="s">
        <v>25</v>
      </c>
      <c r="P21" s="5"/>
    </row>
    <row r="22" spans="1:16" ht="9.75" thickBot="1" x14ac:dyDescent="0.3">
      <c r="A22" s="1">
        <f t="shared" si="0"/>
        <v>22</v>
      </c>
      <c r="B22" s="11" t="s">
        <v>27</v>
      </c>
      <c r="C22" s="86">
        <v>0.5</v>
      </c>
      <c r="D22" s="52" t="s">
        <v>28</v>
      </c>
      <c r="F22" s="98" t="s">
        <v>81</v>
      </c>
      <c r="H22" s="68">
        <f>IF($D22="m/s/°C",$C22,$C22*1.82268883056285)</f>
        <v>0.5</v>
      </c>
      <c r="I22" s="69" t="s">
        <v>28</v>
      </c>
      <c r="J22" s="70">
        <f>IF($D22="fps/°F",$C22,$C22/1.82268883056285)</f>
        <v>0.27431999999999945</v>
      </c>
      <c r="K22" s="25" t="s">
        <v>29</v>
      </c>
      <c r="L22" s="5"/>
      <c r="M22" s="47" t="s">
        <v>28</v>
      </c>
      <c r="N22" s="47" t="s">
        <v>29</v>
      </c>
      <c r="P22" s="5"/>
    </row>
    <row r="23" spans="1:16" ht="9.75" thickBot="1" x14ac:dyDescent="0.3">
      <c r="A23" s="1">
        <f t="shared" si="0"/>
        <v>23</v>
      </c>
      <c r="B23" s="5"/>
      <c r="C23" s="5"/>
      <c r="D23" s="5"/>
      <c r="F23" s="98"/>
      <c r="H23" s="64"/>
      <c r="I23" s="65"/>
      <c r="J23" s="66"/>
      <c r="K23" s="67"/>
      <c r="L23" s="5"/>
      <c r="M23" s="49"/>
      <c r="N23" s="47"/>
      <c r="P23" s="5"/>
    </row>
    <row r="24" spans="1:16" ht="9.75" thickBot="1" x14ac:dyDescent="0.3">
      <c r="A24" s="1">
        <f t="shared" si="0"/>
        <v>24</v>
      </c>
      <c r="B24" s="23" t="s">
        <v>30</v>
      </c>
      <c r="C24" s="26"/>
      <c r="D24" s="24"/>
      <c r="F24" s="98"/>
      <c r="H24" s="64"/>
      <c r="I24" s="65"/>
      <c r="J24" s="66"/>
      <c r="K24" s="67"/>
      <c r="L24" s="5"/>
      <c r="M24" s="49"/>
      <c r="N24" s="47"/>
      <c r="P24" s="5"/>
    </row>
    <row r="25" spans="1:16" x14ac:dyDescent="0.25">
      <c r="A25" s="1">
        <f t="shared" si="0"/>
        <v>25</v>
      </c>
      <c r="B25" s="10" t="s">
        <v>31</v>
      </c>
      <c r="C25" s="84">
        <v>100</v>
      </c>
      <c r="D25" s="51" t="s">
        <v>32</v>
      </c>
      <c r="F25" s="98" t="s">
        <v>89</v>
      </c>
      <c r="H25" s="64">
        <f>IF($D25="m",$C25,$C25*0.9144)</f>
        <v>100</v>
      </c>
      <c r="I25" s="65" t="s">
        <v>32</v>
      </c>
      <c r="J25" s="66">
        <f>IF($D25="yd",$C25,$C25/0.9144)</f>
        <v>109.36132983377078</v>
      </c>
      <c r="K25" s="67" t="s">
        <v>33</v>
      </c>
      <c r="L25" s="5"/>
      <c r="M25" s="47" t="s">
        <v>32</v>
      </c>
      <c r="N25" s="47" t="s">
        <v>33</v>
      </c>
      <c r="P25" s="5"/>
    </row>
    <row r="26" spans="1:16" x14ac:dyDescent="0.25">
      <c r="A26" s="1">
        <f t="shared" si="0"/>
        <v>26</v>
      </c>
      <c r="B26" s="18" t="s">
        <v>34</v>
      </c>
      <c r="C26" s="85">
        <v>5</v>
      </c>
      <c r="D26" s="51" t="s">
        <v>35</v>
      </c>
      <c r="F26" s="98" t="s">
        <v>88</v>
      </c>
      <c r="H26" s="64">
        <f>IF($D26="cm",$C26,C26*2.54)</f>
        <v>5</v>
      </c>
      <c r="I26" s="65" t="s">
        <v>35</v>
      </c>
      <c r="J26" s="66">
        <f>IF($D26="in",$C26,$C26/2.54)</f>
        <v>1.9685039370078741</v>
      </c>
      <c r="K26" s="67" t="s">
        <v>12</v>
      </c>
      <c r="L26" s="5"/>
      <c r="M26" s="47" t="s">
        <v>35</v>
      </c>
      <c r="N26" s="47" t="s">
        <v>12</v>
      </c>
      <c r="P26" s="5"/>
    </row>
    <row r="27" spans="1:16" x14ac:dyDescent="0.25">
      <c r="A27" s="1">
        <f t="shared" si="0"/>
        <v>27</v>
      </c>
      <c r="B27" s="18" t="s">
        <v>36</v>
      </c>
      <c r="C27" s="85">
        <v>8</v>
      </c>
      <c r="D27" s="51" t="s">
        <v>12</v>
      </c>
      <c r="F27" s="98" t="s">
        <v>92</v>
      </c>
      <c r="H27" s="64">
        <f>IF($D27="cm",$C27,$C27*2.54)</f>
        <v>20.32</v>
      </c>
      <c r="I27" s="65" t="s">
        <v>35</v>
      </c>
      <c r="J27" s="66">
        <f>IF($D27="in",$C27,$C27/2.54)</f>
        <v>8</v>
      </c>
      <c r="K27" s="67" t="s">
        <v>12</v>
      </c>
      <c r="L27" s="5"/>
      <c r="M27" s="47" t="s">
        <v>35</v>
      </c>
      <c r="N27" s="47" t="s">
        <v>12</v>
      </c>
      <c r="P27" s="5"/>
    </row>
    <row r="28" spans="1:16" ht="9.75" thickBot="1" x14ac:dyDescent="0.3">
      <c r="A28" s="1">
        <f t="shared" si="0"/>
        <v>28</v>
      </c>
      <c r="B28" s="11" t="s">
        <v>37</v>
      </c>
      <c r="C28" s="86" t="s">
        <v>38</v>
      </c>
      <c r="D28" s="71"/>
      <c r="F28" s="98" t="s">
        <v>93</v>
      </c>
      <c r="H28" s="64" t="str">
        <f>IF($C28="Right","R","L")</f>
        <v>R</v>
      </c>
      <c r="I28" s="65"/>
      <c r="J28" s="66"/>
      <c r="K28" s="67"/>
      <c r="L28" s="5"/>
      <c r="M28" s="47" t="s">
        <v>38</v>
      </c>
      <c r="N28" s="47" t="s">
        <v>39</v>
      </c>
      <c r="P28" s="5"/>
    </row>
    <row r="29" spans="1:16" ht="9.75" thickBot="1" x14ac:dyDescent="0.3">
      <c r="A29" s="1">
        <f t="shared" si="0"/>
        <v>29</v>
      </c>
      <c r="B29" s="5"/>
      <c r="C29" s="5"/>
      <c r="D29" s="5"/>
      <c r="F29" s="98"/>
      <c r="H29" s="64"/>
      <c r="I29" s="65"/>
      <c r="J29" s="66"/>
      <c r="K29" s="67"/>
      <c r="L29" s="5"/>
      <c r="M29" s="47"/>
      <c r="N29" s="47"/>
      <c r="P29" s="5"/>
    </row>
    <row r="30" spans="1:16" ht="9.75" thickBot="1" x14ac:dyDescent="0.3">
      <c r="A30" s="1">
        <f t="shared" si="0"/>
        <v>30</v>
      </c>
      <c r="B30" s="27" t="s">
        <v>40</v>
      </c>
      <c r="C30" s="28"/>
      <c r="D30" s="28"/>
      <c r="F30" s="98"/>
      <c r="H30" s="64"/>
      <c r="I30" s="65"/>
      <c r="J30" s="66"/>
      <c r="K30" s="67"/>
      <c r="L30" s="5"/>
      <c r="M30" s="47"/>
      <c r="N30" s="47"/>
      <c r="P30" s="5"/>
    </row>
    <row r="31" spans="1:16" x14ac:dyDescent="0.25">
      <c r="A31" s="1">
        <f t="shared" si="0"/>
        <v>31</v>
      </c>
      <c r="B31" s="10" t="s">
        <v>41</v>
      </c>
      <c r="C31" s="80">
        <v>610</v>
      </c>
      <c r="D31" s="53" t="s">
        <v>32</v>
      </c>
      <c r="F31" s="98" t="s">
        <v>97</v>
      </c>
      <c r="H31" s="68">
        <f>IF($D31="m",$C31,$C31*0.3048)</f>
        <v>610</v>
      </c>
      <c r="I31" s="69" t="s">
        <v>32</v>
      </c>
      <c r="J31" s="70">
        <f>IF($D31="ft",$C31,$C31/0.3048)</f>
        <v>2001.3123359580052</v>
      </c>
      <c r="K31" s="25" t="s">
        <v>42</v>
      </c>
      <c r="L31" s="5"/>
      <c r="M31" s="47" t="s">
        <v>32</v>
      </c>
      <c r="N31" s="47" t="s">
        <v>42</v>
      </c>
      <c r="P31" s="5"/>
    </row>
    <row r="32" spans="1:16" x14ac:dyDescent="0.25">
      <c r="A32" s="1">
        <f t="shared" si="0"/>
        <v>32</v>
      </c>
      <c r="B32" s="18" t="s">
        <v>43</v>
      </c>
      <c r="C32" s="81">
        <v>260</v>
      </c>
      <c r="D32" s="51" t="s">
        <v>32</v>
      </c>
      <c r="F32" s="98" t="s">
        <v>96</v>
      </c>
      <c r="H32" s="68">
        <f>IF($D32="m",$C32,$C32*0.3048)</f>
        <v>260</v>
      </c>
      <c r="I32" s="69" t="s">
        <v>32</v>
      </c>
      <c r="J32" s="70">
        <f>IF($D32="ft",$C32,$C32/0.3048)</f>
        <v>853.01837270341207</v>
      </c>
      <c r="K32" s="25" t="s">
        <v>42</v>
      </c>
      <c r="L32" s="5"/>
      <c r="M32" s="47" t="s">
        <v>32</v>
      </c>
      <c r="N32" s="47" t="s">
        <v>42</v>
      </c>
      <c r="P32" s="5"/>
    </row>
    <row r="33" spans="1:16" x14ac:dyDescent="0.25">
      <c r="A33" s="1">
        <f t="shared" si="0"/>
        <v>33</v>
      </c>
      <c r="B33" s="18" t="s">
        <v>44</v>
      </c>
      <c r="C33" s="82">
        <v>21</v>
      </c>
      <c r="D33" s="51" t="s">
        <v>45</v>
      </c>
      <c r="F33" s="98" t="s">
        <v>82</v>
      </c>
      <c r="H33" s="68">
        <f>IF($D33="°C",$C33,CONVERT($C33,"F","C"))</f>
        <v>21</v>
      </c>
      <c r="I33" s="69" t="s">
        <v>45</v>
      </c>
      <c r="J33" s="70">
        <f>IF($D33="°F",$C33,CONVERT($C33,"C","F"))</f>
        <v>69.800000000000011</v>
      </c>
      <c r="K33" s="25" t="s">
        <v>46</v>
      </c>
      <c r="L33" s="5"/>
      <c r="M33" s="47" t="s">
        <v>45</v>
      </c>
      <c r="N33" s="47" t="s">
        <v>46</v>
      </c>
      <c r="P33" s="5"/>
    </row>
    <row r="34" spans="1:16" x14ac:dyDescent="0.25">
      <c r="A34" s="1">
        <f t="shared" si="0"/>
        <v>34</v>
      </c>
      <c r="B34" s="18" t="s">
        <v>47</v>
      </c>
      <c r="C34" s="82">
        <v>982</v>
      </c>
      <c r="D34" s="51" t="s">
        <v>48</v>
      </c>
      <c r="F34" s="98" t="s">
        <v>94</v>
      </c>
      <c r="H34" s="68">
        <f>IF($D34="hPa",$C34,$C34/0.029529983071445)</f>
        <v>982</v>
      </c>
      <c r="I34" s="69" t="s">
        <v>48</v>
      </c>
      <c r="J34" s="70">
        <f>IF($D34="hPa",$C34*0.029529983071445,$C34)</f>
        <v>28.998443376158988</v>
      </c>
      <c r="K34" s="25" t="s">
        <v>49</v>
      </c>
      <c r="L34" s="5"/>
      <c r="M34" s="47" t="s">
        <v>48</v>
      </c>
      <c r="N34" s="47" t="s">
        <v>49</v>
      </c>
      <c r="P34" s="5"/>
    </row>
    <row r="35" spans="1:16" ht="9.75" thickBot="1" x14ac:dyDescent="0.3">
      <c r="A35" s="1">
        <f t="shared" si="0"/>
        <v>35</v>
      </c>
      <c r="B35" s="11" t="s">
        <v>50</v>
      </c>
      <c r="C35" s="83">
        <v>73</v>
      </c>
      <c r="D35" s="29" t="s">
        <v>51</v>
      </c>
      <c r="F35" s="98" t="s">
        <v>95</v>
      </c>
      <c r="H35" s="64">
        <f>C35</f>
        <v>73</v>
      </c>
      <c r="I35" s="65" t="s">
        <v>51</v>
      </c>
      <c r="J35" s="66"/>
      <c r="K35" s="67"/>
      <c r="L35" s="5"/>
      <c r="M35" s="47"/>
      <c r="N35" s="46"/>
      <c r="P35" s="5"/>
    </row>
    <row r="36" spans="1:16" ht="9.75" thickBot="1" x14ac:dyDescent="0.3">
      <c r="A36" s="1">
        <f t="shared" si="0"/>
        <v>36</v>
      </c>
      <c r="F36" s="98"/>
      <c r="H36" s="64"/>
      <c r="I36" s="65"/>
      <c r="J36" s="66"/>
      <c r="K36" s="67"/>
      <c r="L36" s="5"/>
      <c r="M36" s="50"/>
      <c r="N36" s="47"/>
    </row>
    <row r="37" spans="1:16" ht="9.75" thickBot="1" x14ac:dyDescent="0.3">
      <c r="A37" s="1">
        <f t="shared" si="0"/>
        <v>37</v>
      </c>
      <c r="B37" s="111" t="s">
        <v>52</v>
      </c>
      <c r="C37" s="112"/>
      <c r="D37" s="113"/>
      <c r="F37" s="98"/>
      <c r="H37" s="64"/>
      <c r="I37" s="65"/>
      <c r="J37" s="66"/>
      <c r="K37" s="67"/>
      <c r="L37" s="5"/>
      <c r="M37" s="45"/>
      <c r="N37" s="48"/>
    </row>
    <row r="38" spans="1:16" ht="9.75" thickBot="1" x14ac:dyDescent="0.3">
      <c r="A38" s="1">
        <f t="shared" si="0"/>
        <v>38</v>
      </c>
      <c r="F38" s="98"/>
      <c r="H38" s="64"/>
      <c r="I38" s="65"/>
      <c r="J38" s="66"/>
      <c r="K38" s="67"/>
      <c r="L38" s="5"/>
      <c r="M38" s="45"/>
      <c r="N38" s="48"/>
    </row>
    <row r="39" spans="1:16" ht="9.75" thickBot="1" x14ac:dyDescent="0.3">
      <c r="A39" s="1">
        <f t="shared" si="0"/>
        <v>39</v>
      </c>
      <c r="B39" s="30" t="s">
        <v>53</v>
      </c>
      <c r="C39" s="31"/>
      <c r="D39" s="31"/>
      <c r="F39" s="98"/>
      <c r="H39" s="64"/>
      <c r="I39" s="65"/>
      <c r="J39" s="66"/>
      <c r="K39" s="67"/>
      <c r="L39" s="5"/>
      <c r="M39" s="45"/>
      <c r="N39" s="48"/>
    </row>
    <row r="40" spans="1:16" x14ac:dyDescent="0.25">
      <c r="A40" s="1">
        <f t="shared" si="0"/>
        <v>40</v>
      </c>
      <c r="B40" s="32" t="s">
        <v>54</v>
      </c>
      <c r="C40" s="78">
        <v>5</v>
      </c>
      <c r="D40" s="54" t="s">
        <v>26</v>
      </c>
      <c r="F40" s="98" t="s">
        <v>85</v>
      </c>
      <c r="H40" s="68">
        <f>IF($D40="m/s",$C40,$C40*0.44704)</f>
        <v>5</v>
      </c>
      <c r="I40" s="69" t="s">
        <v>26</v>
      </c>
      <c r="J40" s="70">
        <f>IF($D40="mph",$C40,$C40/0.44704)</f>
        <v>11.184681460272012</v>
      </c>
      <c r="K40" s="25" t="s">
        <v>55</v>
      </c>
      <c r="L40" s="5"/>
      <c r="M40" s="47" t="s">
        <v>26</v>
      </c>
      <c r="N40" s="46" t="s">
        <v>55</v>
      </c>
    </row>
    <row r="41" spans="1:16" ht="9.75" thickBot="1" x14ac:dyDescent="0.3">
      <c r="A41" s="1">
        <f t="shared" si="0"/>
        <v>41</v>
      </c>
      <c r="B41" s="33" t="s">
        <v>56</v>
      </c>
      <c r="C41" s="79">
        <v>1</v>
      </c>
      <c r="D41" s="55" t="s">
        <v>26</v>
      </c>
      <c r="F41" s="98" t="s">
        <v>84</v>
      </c>
      <c r="H41" s="68">
        <f>IF($D41="m/s",$C41,$C41*0.44704)</f>
        <v>1</v>
      </c>
      <c r="I41" s="69" t="s">
        <v>26</v>
      </c>
      <c r="J41" s="70">
        <f>IF($D41="mph",$C41,$C41/0.44704)</f>
        <v>2.2369362920544025</v>
      </c>
      <c r="K41" s="25" t="s">
        <v>55</v>
      </c>
      <c r="L41" s="5"/>
      <c r="M41" s="47" t="s">
        <v>26</v>
      </c>
      <c r="N41" s="46" t="s">
        <v>55</v>
      </c>
    </row>
    <row r="42" spans="1:16" ht="9.75" thickBot="1" x14ac:dyDescent="0.3">
      <c r="A42" s="1">
        <f t="shared" si="0"/>
        <v>42</v>
      </c>
      <c r="F42" s="98"/>
      <c r="H42" s="64"/>
      <c r="I42" s="65"/>
      <c r="J42" s="66"/>
      <c r="K42" s="67"/>
      <c r="L42" s="5"/>
      <c r="M42" s="45"/>
      <c r="N42" s="48"/>
    </row>
    <row r="43" spans="1:16" ht="9.75" thickBot="1" x14ac:dyDescent="0.3">
      <c r="A43" s="1">
        <f t="shared" si="0"/>
        <v>43</v>
      </c>
      <c r="B43" s="30" t="s">
        <v>57</v>
      </c>
      <c r="C43" s="31"/>
      <c r="D43" s="31"/>
      <c r="F43" s="98"/>
      <c r="H43" s="64"/>
      <c r="I43" s="65"/>
      <c r="J43" s="66"/>
      <c r="K43" s="67"/>
      <c r="L43" s="5"/>
      <c r="M43" s="45"/>
      <c r="N43" s="48"/>
    </row>
    <row r="44" spans="1:16" x14ac:dyDescent="0.25">
      <c r="A44" s="1">
        <f t="shared" si="0"/>
        <v>44</v>
      </c>
      <c r="B44" s="34" t="s">
        <v>58</v>
      </c>
      <c r="C44" s="35"/>
      <c r="D44" s="53" t="s">
        <v>59</v>
      </c>
      <c r="F44" s="98" t="s">
        <v>86</v>
      </c>
      <c r="H44" s="64" t="str">
        <f>D44</f>
        <v>mil</v>
      </c>
      <c r="I44" s="65"/>
      <c r="J44" s="66"/>
      <c r="K44" s="67"/>
      <c r="L44" s="5"/>
      <c r="M44" s="47" t="s">
        <v>59</v>
      </c>
      <c r="N44" s="47" t="s">
        <v>60</v>
      </c>
      <c r="P44" s="5"/>
    </row>
    <row r="45" spans="1:16" ht="9.75" thickBot="1" x14ac:dyDescent="0.3">
      <c r="A45" s="1">
        <f t="shared" si="0"/>
        <v>45</v>
      </c>
      <c r="B45" s="21" t="s">
        <v>61</v>
      </c>
      <c r="C45" s="36"/>
      <c r="D45" s="52" t="s">
        <v>59</v>
      </c>
      <c r="F45" s="98" t="s">
        <v>87</v>
      </c>
      <c r="H45" s="64" t="str">
        <f>D45</f>
        <v>mil</v>
      </c>
      <c r="I45" s="65"/>
      <c r="J45" s="66"/>
      <c r="K45" s="67"/>
      <c r="L45" s="5"/>
      <c r="M45" s="47" t="s">
        <v>59</v>
      </c>
      <c r="N45" s="47" t="s">
        <v>60</v>
      </c>
      <c r="P45" s="5"/>
    </row>
    <row r="46" spans="1:16" ht="9.75" thickBot="1" x14ac:dyDescent="0.3">
      <c r="A46" s="1">
        <f t="shared" si="0"/>
        <v>46</v>
      </c>
      <c r="F46" s="98"/>
      <c r="H46" s="64"/>
      <c r="I46" s="65"/>
      <c r="J46" s="66"/>
      <c r="K46" s="67"/>
      <c r="L46" s="5"/>
      <c r="M46" s="45"/>
      <c r="N46" s="48"/>
    </row>
    <row r="47" spans="1:16" x14ac:dyDescent="0.25">
      <c r="A47" s="1">
        <f t="shared" si="0"/>
        <v>47</v>
      </c>
      <c r="B47" s="30" t="s">
        <v>52</v>
      </c>
      <c r="C47" s="31"/>
      <c r="D47" s="31"/>
      <c r="F47" s="98"/>
      <c r="H47" s="64"/>
      <c r="I47" s="65"/>
      <c r="J47" s="66"/>
      <c r="K47" s="67"/>
      <c r="L47" s="5"/>
      <c r="M47" s="45"/>
      <c r="N47" s="48"/>
    </row>
    <row r="48" spans="1:16" x14ac:dyDescent="0.25">
      <c r="A48" s="1">
        <f t="shared" si="0"/>
        <v>48</v>
      </c>
      <c r="B48" s="37" t="s">
        <v>62</v>
      </c>
      <c r="C48" s="76">
        <v>100</v>
      </c>
      <c r="D48" s="51" t="s">
        <v>32</v>
      </c>
      <c r="F48" s="98" t="s">
        <v>99</v>
      </c>
      <c r="H48" s="64">
        <f>IF($D48="m",$C48,$C48*0.9144)</f>
        <v>100</v>
      </c>
      <c r="I48" s="65" t="s">
        <v>32</v>
      </c>
      <c r="J48" s="66">
        <f>IF($D48="yd",$C48,$C48/0.9144)</f>
        <v>109.36132983377078</v>
      </c>
      <c r="K48" s="67" t="s">
        <v>33</v>
      </c>
      <c r="L48" s="5"/>
      <c r="M48" s="47" t="s">
        <v>32</v>
      </c>
      <c r="N48" s="47" t="s">
        <v>33</v>
      </c>
    </row>
    <row r="49" spans="1:16" ht="9.75" thickBot="1" x14ac:dyDescent="0.3">
      <c r="A49" s="1">
        <f t="shared" si="0"/>
        <v>49</v>
      </c>
      <c r="B49" s="11" t="s">
        <v>63</v>
      </c>
      <c r="C49" s="77">
        <v>100</v>
      </c>
      <c r="D49" s="52" t="s">
        <v>32</v>
      </c>
      <c r="F49" s="98" t="s">
        <v>100</v>
      </c>
      <c r="H49" s="64">
        <f>IF($D49="m",$C49,$C49*0.9144)</f>
        <v>100</v>
      </c>
      <c r="I49" s="65" t="s">
        <v>32</v>
      </c>
      <c r="J49" s="66">
        <f>IF($D49="yd",$C49,$C49/0.9144)</f>
        <v>109.36132983377078</v>
      </c>
      <c r="K49" s="67" t="s">
        <v>33</v>
      </c>
      <c r="L49" s="5"/>
      <c r="M49" s="47" t="s">
        <v>32</v>
      </c>
      <c r="N49" s="47" t="s">
        <v>33</v>
      </c>
    </row>
    <row r="50" spans="1:16" ht="9.75" thickBot="1" x14ac:dyDescent="0.3">
      <c r="A50" s="1">
        <f t="shared" si="0"/>
        <v>50</v>
      </c>
      <c r="F50" s="98"/>
      <c r="H50" s="64"/>
      <c r="I50" s="65"/>
      <c r="J50" s="66"/>
      <c r="K50" s="67"/>
      <c r="L50" s="5"/>
      <c r="M50" s="45"/>
      <c r="N50" s="48"/>
    </row>
    <row r="51" spans="1:16" ht="9.75" thickBot="1" x14ac:dyDescent="0.3">
      <c r="A51" s="1">
        <f t="shared" si="0"/>
        <v>51</v>
      </c>
      <c r="B51" s="111" t="s">
        <v>64</v>
      </c>
      <c r="C51" s="112"/>
      <c r="D51" s="113"/>
      <c r="H51" s="64"/>
      <c r="I51" s="65"/>
      <c r="J51" s="66"/>
      <c r="K51" s="67"/>
      <c r="L51" s="5"/>
      <c r="M51" s="47"/>
      <c r="N51" s="46"/>
      <c r="P51" s="5"/>
    </row>
    <row r="52" spans="1:16" ht="9.75" thickBot="1" x14ac:dyDescent="0.3">
      <c r="A52" s="1">
        <f t="shared" si="0"/>
        <v>52</v>
      </c>
      <c r="B52" s="38"/>
      <c r="C52" s="38"/>
      <c r="D52" s="38"/>
      <c r="F52" s="98"/>
      <c r="H52" s="64"/>
      <c r="I52" s="65"/>
      <c r="J52" s="66"/>
      <c r="K52" s="67"/>
      <c r="L52" s="5"/>
      <c r="M52" s="47"/>
      <c r="N52" s="46"/>
      <c r="P52" s="5"/>
    </row>
    <row r="53" spans="1:16" x14ac:dyDescent="0.25">
      <c r="A53" s="1">
        <f t="shared" si="0"/>
        <v>53</v>
      </c>
      <c r="B53" s="39" t="s">
        <v>44</v>
      </c>
      <c r="C53" s="40" t="s">
        <v>65</v>
      </c>
      <c r="D53" s="31"/>
      <c r="F53" s="98"/>
      <c r="H53" s="64"/>
      <c r="I53" s="65"/>
      <c r="J53" s="66"/>
      <c r="K53" s="67"/>
      <c r="L53" s="5"/>
      <c r="M53" s="47"/>
      <c r="N53" s="46"/>
      <c r="P53" s="5"/>
    </row>
    <row r="54" spans="1:16" x14ac:dyDescent="0.25">
      <c r="A54" s="1">
        <f t="shared" si="0"/>
        <v>54</v>
      </c>
      <c r="B54" s="41">
        <v>-7.75</v>
      </c>
      <c r="C54" s="89">
        <f>IF($D$21="m/s",$C$21+((B54-$C$33)*$C$22),$C$21*0.3048+((B54-$C$33)*$C$22))</f>
        <v>811.63300000000004</v>
      </c>
      <c r="D54" s="42" t="s">
        <v>26</v>
      </c>
      <c r="F54" s="98" t="s">
        <v>98</v>
      </c>
      <c r="H54" s="68">
        <f>IF($D54="m/s",$C54,$C54*0.3048)</f>
        <v>811.63300000000004</v>
      </c>
      <c r="I54" s="69" t="s">
        <v>26</v>
      </c>
      <c r="J54" s="70">
        <f>IF($D54="fps",$C54,$C54/0.3048)</f>
        <v>2662.8379265091862</v>
      </c>
      <c r="K54" s="25" t="s">
        <v>25</v>
      </c>
      <c r="L54" s="5"/>
      <c r="M54" s="47" t="s">
        <v>26</v>
      </c>
      <c r="N54" s="47" t="s">
        <v>25</v>
      </c>
    </row>
    <row r="55" spans="1:16" x14ac:dyDescent="0.25">
      <c r="A55" s="1">
        <f t="shared" si="0"/>
        <v>55</v>
      </c>
      <c r="B55" s="43">
        <v>-4.5</v>
      </c>
      <c r="C55" s="90">
        <f t="shared" ref="C55:C63" si="1">IF($D$21="m/s",$C$21+((B55-$C$33)*$C$22),$C$21*0.3048+((B55-$C$33)*$C$22))</f>
        <v>813.25800000000004</v>
      </c>
      <c r="D55" s="20" t="s">
        <v>26</v>
      </c>
      <c r="F55" s="99"/>
      <c r="H55" s="68">
        <f t="shared" ref="H55:H63" si="2">IF($D55="m/s",$C55,$C55*0.3048)</f>
        <v>813.25800000000004</v>
      </c>
      <c r="I55" s="69" t="s">
        <v>26</v>
      </c>
      <c r="J55" s="70">
        <f t="shared" ref="J55:J63" si="3">IF($D55="fps",$C55,$C55/0.3048)</f>
        <v>2668.1692913385828</v>
      </c>
      <c r="K55" s="25" t="s">
        <v>25</v>
      </c>
      <c r="L55" s="5"/>
      <c r="M55" s="47"/>
      <c r="N55" s="47"/>
    </row>
    <row r="56" spans="1:16" x14ac:dyDescent="0.25">
      <c r="A56" s="1">
        <f t="shared" si="0"/>
        <v>56</v>
      </c>
      <c r="B56" s="43">
        <v>-1.25</v>
      </c>
      <c r="C56" s="90">
        <f t="shared" si="1"/>
        <v>814.88300000000004</v>
      </c>
      <c r="D56" s="20" t="s">
        <v>26</v>
      </c>
      <c r="F56" s="99"/>
      <c r="H56" s="68">
        <f t="shared" si="2"/>
        <v>814.88300000000004</v>
      </c>
      <c r="I56" s="69" t="s">
        <v>26</v>
      </c>
      <c r="J56" s="70">
        <f t="shared" si="3"/>
        <v>2673.5006561679788</v>
      </c>
      <c r="K56" s="25" t="s">
        <v>25</v>
      </c>
      <c r="L56" s="5"/>
      <c r="M56" s="47"/>
      <c r="N56" s="47"/>
    </row>
    <row r="57" spans="1:16" x14ac:dyDescent="0.25">
      <c r="A57" s="1">
        <f t="shared" si="0"/>
        <v>57</v>
      </c>
      <c r="B57" s="43">
        <v>2</v>
      </c>
      <c r="C57" s="90">
        <f t="shared" si="1"/>
        <v>816.50800000000004</v>
      </c>
      <c r="D57" s="20" t="s">
        <v>26</v>
      </c>
      <c r="F57" s="99"/>
      <c r="H57" s="68">
        <f t="shared" si="2"/>
        <v>816.50800000000004</v>
      </c>
      <c r="I57" s="69" t="s">
        <v>26</v>
      </c>
      <c r="J57" s="70">
        <f t="shared" si="3"/>
        <v>2678.8320209973754</v>
      </c>
      <c r="K57" s="25" t="s">
        <v>25</v>
      </c>
      <c r="L57" s="5"/>
      <c r="M57" s="47"/>
      <c r="N57" s="47"/>
    </row>
    <row r="58" spans="1:16" x14ac:dyDescent="0.25">
      <c r="A58" s="1">
        <f t="shared" si="0"/>
        <v>58</v>
      </c>
      <c r="B58" s="43">
        <v>5.25</v>
      </c>
      <c r="C58" s="90">
        <f t="shared" si="1"/>
        <v>818.13300000000004</v>
      </c>
      <c r="D58" s="20" t="s">
        <v>26</v>
      </c>
      <c r="F58" s="99"/>
      <c r="H58" s="68">
        <f t="shared" si="2"/>
        <v>818.13300000000004</v>
      </c>
      <c r="I58" s="69" t="s">
        <v>26</v>
      </c>
      <c r="J58" s="70">
        <f t="shared" si="3"/>
        <v>2684.1633858267714</v>
      </c>
      <c r="K58" s="25" t="s">
        <v>25</v>
      </c>
      <c r="L58" s="5"/>
      <c r="M58" s="47"/>
      <c r="N58" s="47"/>
    </row>
    <row r="59" spans="1:16" x14ac:dyDescent="0.25">
      <c r="A59" s="1">
        <f t="shared" si="0"/>
        <v>59</v>
      </c>
      <c r="B59" s="43">
        <v>8.5</v>
      </c>
      <c r="C59" s="90">
        <f t="shared" si="1"/>
        <v>819.75800000000004</v>
      </c>
      <c r="D59" s="20" t="s">
        <v>26</v>
      </c>
      <c r="F59" s="99"/>
      <c r="H59" s="68">
        <f t="shared" si="2"/>
        <v>819.75800000000004</v>
      </c>
      <c r="I59" s="69" t="s">
        <v>26</v>
      </c>
      <c r="J59" s="70">
        <f t="shared" si="3"/>
        <v>2689.494750656168</v>
      </c>
      <c r="K59" s="25" t="s">
        <v>25</v>
      </c>
      <c r="L59" s="5"/>
      <c r="M59" s="47"/>
      <c r="N59" s="47"/>
    </row>
    <row r="60" spans="1:16" x14ac:dyDescent="0.25">
      <c r="A60" s="1">
        <f t="shared" si="0"/>
        <v>60</v>
      </c>
      <c r="B60" s="43">
        <v>11.75</v>
      </c>
      <c r="C60" s="90">
        <f t="shared" si="1"/>
        <v>821.38300000000004</v>
      </c>
      <c r="D60" s="20" t="s">
        <v>26</v>
      </c>
      <c r="F60" s="99"/>
      <c r="H60" s="68">
        <f t="shared" si="2"/>
        <v>821.38300000000004</v>
      </c>
      <c r="I60" s="69" t="s">
        <v>26</v>
      </c>
      <c r="J60" s="70">
        <f t="shared" si="3"/>
        <v>2694.8261154855645</v>
      </c>
      <c r="K60" s="25" t="s">
        <v>25</v>
      </c>
      <c r="L60" s="5"/>
      <c r="M60" s="47"/>
      <c r="N60" s="47"/>
    </row>
    <row r="61" spans="1:16" x14ac:dyDescent="0.25">
      <c r="A61" s="1">
        <f t="shared" si="0"/>
        <v>61</v>
      </c>
      <c r="B61" s="43">
        <v>15</v>
      </c>
      <c r="C61" s="90">
        <f t="shared" si="1"/>
        <v>823.00800000000004</v>
      </c>
      <c r="D61" s="20" t="s">
        <v>26</v>
      </c>
      <c r="F61" s="99"/>
      <c r="H61" s="68">
        <f t="shared" si="2"/>
        <v>823.00800000000004</v>
      </c>
      <c r="I61" s="69" t="s">
        <v>26</v>
      </c>
      <c r="J61" s="70">
        <f t="shared" si="3"/>
        <v>2700.1574803149606</v>
      </c>
      <c r="K61" s="25" t="s">
        <v>25</v>
      </c>
      <c r="L61" s="5"/>
      <c r="M61" s="47"/>
      <c r="N61" s="47"/>
    </row>
    <row r="62" spans="1:16" x14ac:dyDescent="0.25">
      <c r="A62" s="1">
        <f t="shared" si="0"/>
        <v>62</v>
      </c>
      <c r="B62" s="43">
        <v>18.25</v>
      </c>
      <c r="C62" s="90">
        <f t="shared" si="1"/>
        <v>824.63300000000004</v>
      </c>
      <c r="D62" s="20" t="s">
        <v>26</v>
      </c>
      <c r="F62" s="99"/>
      <c r="H62" s="68">
        <f t="shared" si="2"/>
        <v>824.63300000000004</v>
      </c>
      <c r="I62" s="69" t="s">
        <v>26</v>
      </c>
      <c r="J62" s="70">
        <f t="shared" si="3"/>
        <v>2705.4888451443571</v>
      </c>
      <c r="K62" s="25" t="s">
        <v>25</v>
      </c>
      <c r="L62" s="5"/>
      <c r="M62" s="47"/>
      <c r="N62" s="47"/>
    </row>
    <row r="63" spans="1:16" ht="9.75" thickBot="1" x14ac:dyDescent="0.3">
      <c r="A63" s="1">
        <f t="shared" si="0"/>
        <v>63</v>
      </c>
      <c r="B63" s="44">
        <v>21.5</v>
      </c>
      <c r="C63" s="91">
        <f t="shared" si="1"/>
        <v>826.25800000000004</v>
      </c>
      <c r="D63" s="29" t="s">
        <v>26</v>
      </c>
      <c r="F63" s="99"/>
      <c r="H63" s="68">
        <f t="shared" si="2"/>
        <v>826.25800000000004</v>
      </c>
      <c r="I63" s="69" t="s">
        <v>26</v>
      </c>
      <c r="J63" s="70">
        <f t="shared" si="3"/>
        <v>2710.8202099737532</v>
      </c>
      <c r="K63" s="25" t="s">
        <v>25</v>
      </c>
      <c r="L63" s="5"/>
      <c r="M63" s="47"/>
      <c r="N63" s="47"/>
    </row>
    <row r="64" spans="1:16" ht="9.75" thickBot="1" x14ac:dyDescent="0.3">
      <c r="A64" s="1">
        <f t="shared" si="0"/>
        <v>64</v>
      </c>
      <c r="F64" s="98"/>
      <c r="H64" s="64"/>
      <c r="I64" s="65"/>
      <c r="J64" s="66"/>
      <c r="K64" s="67"/>
      <c r="L64" s="5"/>
      <c r="M64" s="45"/>
      <c r="N64" s="48"/>
    </row>
    <row r="65" spans="1:16" ht="9.75" thickBot="1" x14ac:dyDescent="0.3">
      <c r="A65" s="1">
        <f t="shared" si="0"/>
        <v>65</v>
      </c>
      <c r="B65" s="111" t="s">
        <v>66</v>
      </c>
      <c r="C65" s="112"/>
      <c r="D65" s="113"/>
      <c r="F65" s="98"/>
      <c r="H65" s="64"/>
      <c r="I65" s="65"/>
      <c r="J65" s="66"/>
      <c r="K65" s="67"/>
      <c r="L65" s="5"/>
      <c r="M65" s="45"/>
      <c r="N65" s="48"/>
    </row>
    <row r="66" spans="1:16" ht="9.75" thickBot="1" x14ac:dyDescent="0.3">
      <c r="A66" s="1">
        <f t="shared" ref="A66:A72" si="4">A65+1</f>
        <v>66</v>
      </c>
      <c r="F66" s="98"/>
      <c r="H66" s="64"/>
      <c r="I66" s="65"/>
      <c r="J66" s="66"/>
      <c r="K66" s="67"/>
      <c r="L66" s="5"/>
      <c r="M66" s="45"/>
      <c r="N66" s="48"/>
    </row>
    <row r="67" spans="1:16" x14ac:dyDescent="0.25">
      <c r="A67" s="1">
        <f t="shared" si="4"/>
        <v>67</v>
      </c>
      <c r="B67" s="30" t="s">
        <v>67</v>
      </c>
      <c r="C67" s="31"/>
      <c r="D67" s="31"/>
      <c r="F67" s="100"/>
      <c r="H67" s="64"/>
      <c r="I67" s="65"/>
      <c r="J67" s="66"/>
      <c r="K67" s="67"/>
      <c r="L67" s="5"/>
      <c r="M67" s="47"/>
      <c r="N67" s="47"/>
      <c r="P67" s="5"/>
    </row>
    <row r="68" spans="1:16" x14ac:dyDescent="0.25">
      <c r="A68" s="1">
        <f t="shared" si="4"/>
        <v>68</v>
      </c>
      <c r="B68" s="18" t="s">
        <v>68</v>
      </c>
      <c r="C68" s="92">
        <v>1</v>
      </c>
      <c r="D68" s="20" t="s">
        <v>69</v>
      </c>
      <c r="F68" s="98" t="s">
        <v>83</v>
      </c>
      <c r="H68" s="64">
        <f t="shared" ref="H68:H69" si="5">C68</f>
        <v>1</v>
      </c>
      <c r="I68" s="65" t="s">
        <v>69</v>
      </c>
      <c r="J68" s="66"/>
      <c r="K68" s="67"/>
      <c r="L68" s="5"/>
      <c r="M68" s="47"/>
      <c r="N68" s="47"/>
      <c r="P68" s="5"/>
    </row>
    <row r="69" spans="1:16" ht="9.75" thickBot="1" x14ac:dyDescent="0.3">
      <c r="A69" s="1">
        <f t="shared" si="4"/>
        <v>69</v>
      </c>
      <c r="B69" s="11" t="s">
        <v>70</v>
      </c>
      <c r="C69" s="93">
        <v>1</v>
      </c>
      <c r="D69" s="29" t="s">
        <v>69</v>
      </c>
      <c r="F69" s="98" t="s">
        <v>83</v>
      </c>
      <c r="H69" s="64">
        <f t="shared" si="5"/>
        <v>1</v>
      </c>
      <c r="I69" s="65" t="s">
        <v>69</v>
      </c>
      <c r="J69" s="66"/>
      <c r="K69" s="67"/>
      <c r="L69" s="5"/>
      <c r="M69" s="47"/>
      <c r="N69" s="47"/>
      <c r="P69" s="5"/>
    </row>
    <row r="70" spans="1:16" ht="9.75" thickBot="1" x14ac:dyDescent="0.3">
      <c r="A70" s="1">
        <f t="shared" si="4"/>
        <v>70</v>
      </c>
      <c r="F70" s="98"/>
      <c r="H70" s="64"/>
      <c r="I70" s="65"/>
      <c r="J70" s="66"/>
      <c r="K70" s="67"/>
      <c r="L70" s="5"/>
      <c r="M70" s="45"/>
      <c r="N70" s="48"/>
    </row>
    <row r="71" spans="1:16" x14ac:dyDescent="0.25">
      <c r="A71" s="1">
        <f t="shared" si="4"/>
        <v>71</v>
      </c>
      <c r="B71" s="10" t="s">
        <v>71</v>
      </c>
      <c r="C71" s="94">
        <v>0</v>
      </c>
      <c r="D71" s="53" t="s">
        <v>35</v>
      </c>
      <c r="F71" s="98" t="s">
        <v>101</v>
      </c>
      <c r="H71" s="64">
        <f>IF($D71="cm",$C71,C71*2.54)</f>
        <v>0</v>
      </c>
      <c r="I71" s="65" t="s">
        <v>35</v>
      </c>
      <c r="J71" s="66">
        <f>IF($D71="in",$C71,$C71/2.54)</f>
        <v>0</v>
      </c>
      <c r="K71" s="67" t="s">
        <v>12</v>
      </c>
      <c r="L71" s="5"/>
      <c r="M71" s="47" t="s">
        <v>35</v>
      </c>
      <c r="N71" s="47" t="s">
        <v>12</v>
      </c>
      <c r="P71" s="5"/>
    </row>
    <row r="72" spans="1:16" ht="9.75" thickBot="1" x14ac:dyDescent="0.3">
      <c r="A72" s="1">
        <f t="shared" si="4"/>
        <v>72</v>
      </c>
      <c r="B72" s="11" t="s">
        <v>72</v>
      </c>
      <c r="C72" s="95">
        <v>0</v>
      </c>
      <c r="D72" s="52" t="s">
        <v>35</v>
      </c>
      <c r="F72" s="98" t="s">
        <v>102</v>
      </c>
      <c r="H72" s="72">
        <f>IF($D72="cm",$C72,C72*2.54)</f>
        <v>0</v>
      </c>
      <c r="I72" s="73" t="s">
        <v>35</v>
      </c>
      <c r="J72" s="74">
        <f>IF($D72="in",$C72,$C72/2.54)</f>
        <v>0</v>
      </c>
      <c r="K72" s="75" t="s">
        <v>12</v>
      </c>
      <c r="L72" s="5"/>
      <c r="M72" s="47" t="s">
        <v>35</v>
      </c>
      <c r="N72" s="47" t="s">
        <v>12</v>
      </c>
      <c r="P72" s="5"/>
    </row>
  </sheetData>
  <sheetProtection algorithmName="SHA-512" hashValue="BACMm8N1jQ0aHUYzhfHIOwU+I9qGEtJvtIbfgQ6sMvlxJPYpyKVu9QaB2aEaQA/wu/W6M4vQXPQtm3Hv4Zdw5g==" saltValue="gzZOij5ZLESCx6qSKDSM/A==" spinCount="100000" sheet="1" objects="1" scenarios="1" selectLockedCells="1"/>
  <mergeCells count="10">
    <mergeCell ref="B10:D10"/>
    <mergeCell ref="H10:K10"/>
    <mergeCell ref="B37:D37"/>
    <mergeCell ref="B51:D51"/>
    <mergeCell ref="B65:D65"/>
    <mergeCell ref="C8:D8"/>
    <mergeCell ref="B5:D5"/>
    <mergeCell ref="B3:D3"/>
    <mergeCell ref="B4:D4"/>
    <mergeCell ref="C7:D7"/>
  </mergeCells>
  <conditionalFormatting sqref="C7:C8 C13:C17 C21:C22 C25:C28 C31:C35 C40:C41 C48:C49">
    <cfRule type="expression" dxfId="0" priority="1">
      <formula>ISBLANK(C7)</formula>
    </cfRule>
  </conditionalFormatting>
  <dataValidations count="22">
    <dataValidation type="list" allowBlank="1" showInputMessage="1" showErrorMessage="1" sqref="D72">
      <formula1>$M$72:$N$72</formula1>
    </dataValidation>
    <dataValidation type="list" allowBlank="1" showInputMessage="1" showErrorMessage="1" sqref="D71">
      <formula1>$M$71:$N$71</formula1>
    </dataValidation>
    <dataValidation type="list" allowBlank="1" showInputMessage="1" showErrorMessage="1" sqref="D26">
      <formula1>$M$26:$N$26</formula1>
    </dataValidation>
    <dataValidation type="list" allowBlank="1" showInputMessage="1" showErrorMessage="1" sqref="D45">
      <formula1>$M$45:$N$45</formula1>
    </dataValidation>
    <dataValidation type="list" allowBlank="1" showInputMessage="1" showErrorMessage="1" sqref="D44">
      <formula1>$M$44:$N$44</formula1>
    </dataValidation>
    <dataValidation type="list" allowBlank="1" showInputMessage="1" showErrorMessage="1" sqref="C28">
      <formula1>$M$28:$N$28</formula1>
    </dataValidation>
    <dataValidation type="list" allowBlank="1" showInputMessage="1" showErrorMessage="1" sqref="D33">
      <formula1>$M$33:$N$33</formula1>
    </dataValidation>
    <dataValidation type="list" allowBlank="1" showInputMessage="1" showErrorMessage="1" sqref="D34">
      <formula1>$M$34:$N$34</formula1>
    </dataValidation>
    <dataValidation type="list" allowBlank="1" showInputMessage="1" showErrorMessage="1" sqref="D32">
      <formula1>$M$32:$N$32</formula1>
    </dataValidation>
    <dataValidation type="list" allowBlank="1" showInputMessage="1" showErrorMessage="1" sqref="D31">
      <formula1>$M$31:$N$31</formula1>
    </dataValidation>
    <dataValidation type="list" allowBlank="1" showInputMessage="1" showErrorMessage="1" sqref="D22:D23">
      <formula1>$M$22:$N$22</formula1>
    </dataValidation>
    <dataValidation type="list" allowBlank="1" showInputMessage="1" showErrorMessage="1" sqref="D21">
      <formula1>$M$21:$N$21</formula1>
    </dataValidation>
    <dataValidation type="list" allowBlank="1" showInputMessage="1" showErrorMessage="1" sqref="D15">
      <formula1>$M$15:$N$15</formula1>
    </dataValidation>
    <dataValidation type="list" allowBlank="1" showInputMessage="1" showErrorMessage="1" sqref="C19 D18">
      <formula1>$M$18:$N$18</formula1>
    </dataValidation>
    <dataValidation type="list" allowBlank="1" showInputMessage="1" showErrorMessage="1" sqref="D14">
      <formula1>$M$14:$N$14</formula1>
    </dataValidation>
    <dataValidation type="list" allowBlank="1" showInputMessage="1" showErrorMessage="1" sqref="D16">
      <formula1>$M$16:$N$16</formula1>
    </dataValidation>
    <dataValidation type="list" allowBlank="1" showInputMessage="1" showErrorMessage="1" sqref="D27">
      <formula1>$M$27:$N$27</formula1>
    </dataValidation>
    <dataValidation type="list" showInputMessage="1" showErrorMessage="1" sqref="D25">
      <formula1>$M$25:$N$25</formula1>
    </dataValidation>
    <dataValidation type="list" allowBlank="1" showInputMessage="1" showErrorMessage="1" sqref="D40">
      <formula1>$M$40:$N$40</formula1>
    </dataValidation>
    <dataValidation type="list" allowBlank="1" showInputMessage="1" showErrorMessage="1" sqref="D41">
      <formula1>$M$41:$N$41</formula1>
    </dataValidation>
    <dataValidation type="list" showInputMessage="1" showErrorMessage="1" sqref="D48">
      <formula1>$M$48:$N$48</formula1>
    </dataValidation>
    <dataValidation type="list" showInputMessage="1" showErrorMessage="1" sqref="D49">
      <formula1>$M$49:$N$49</formula1>
    </dataValidation>
  </dataValidations>
  <hyperlinks>
    <hyperlink ref="B22" location="Dynamic_Input!B23" tooltip="Effect of powder temperature on muzzle velocity (higher temperatures result in higher MV). If you have not verified the temperature stability of your powder by a test, we recommend a value of 1.0 for average, 0.5 for good and 0.25 for high quality powders" display="Muzzle Velocity Temperature Variation"/>
    <hyperlink ref="B21" location="Dynamic_Input!B22" tooltip="Velocity of the bullet at the muzzle when zeroing the rifle." display="Zeroing Muzzle Velocity"/>
    <hyperlink ref="B18" location="Dynamic_Input!B19" tooltip="Drag function (G1 or G7) corresponding to the entered BC." display="Drag Model"/>
    <hyperlink ref="B17" location="Dynamic_Input!B18" tooltip="Ballistic coefficient (BC) of the bullet as stated by the manufacturer (G1 or G7)." display="Ballistic Coef. (BC)"/>
    <hyperlink ref="B16" location="Dynamic_Input!B17" tooltip="Length of the bullet." display="Length"/>
    <hyperlink ref="B15" location="Dynamic_Input!B16" tooltip="Weight of the bullet." display="Weight"/>
    <hyperlink ref="B14" location="Dynamic_Input!B15" tooltip="Diameter of the bullet. Caution: Caliber is not necessarily the same as measured diameter!" display="Diameter"/>
    <hyperlink ref="B13" location="Dynamic_Input!B14" tooltip="Name and type of the bullet." display="Type"/>
    <hyperlink ref="B40" location="Dynamic_Input!B41" tooltip="Speed of the wind used as standard value for wind holds on all cards. We recommend 5 m/s or 10 m/s for easy scaling." display="Baseline Wind Speed"/>
    <hyperlink ref="B41" location="Dynamic_Input!B42" tooltip="Speed of the target used as standard value for lead on all cards. We recommend 1 m/s for easy scaling." display="Baseline Target Speed"/>
  </hyperlinks>
  <pageMargins left="0.7" right="0.7" top="0.78740157499999996" bottom="0.78740157499999996" header="0.3" footer="0.3"/>
  <pageSetup paperSize="9" orientation="portrait" horizontalDpi="4294967292"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Kriterium Long Range Data Cards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dc:creator>
  <cp:lastModifiedBy>XX</cp:lastModifiedBy>
  <dcterms:created xsi:type="dcterms:W3CDTF">2020-11-17T12:15:49Z</dcterms:created>
  <dcterms:modified xsi:type="dcterms:W3CDTF">2020-11-17T13:19:34Z</dcterms:modified>
</cp:coreProperties>
</file>